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freitas\Desktop\"/>
    </mc:Choice>
  </mc:AlternateContent>
  <bookViews>
    <workbookView xWindow="0" yWindow="0" windowWidth="24000" windowHeight="9735" tabRatio="713"/>
  </bookViews>
  <sheets>
    <sheet name="Simulação" sheetId="14" r:id="rId1"/>
    <sheet name="Tabelas" sheetId="19" state="hidden" r:id="rId2"/>
    <sheet name="Advogados" sheetId="20" state="hidden" r:id="rId3"/>
    <sheet name="Fisioterapeutas" sheetId="21" state="hidden" r:id="rId4"/>
    <sheet name="Plan1" sheetId="22" state="hidden" r:id="rId5"/>
    <sheet name="Plan2" sheetId="23" state="hidden" r:id="rId6"/>
  </sheets>
  <definedNames>
    <definedName name="_xlnm._FilterDatabase" localSheetId="0" hidden="1">Simulação!$B$6:$F$31</definedName>
    <definedName name="_xlnm.Print_Area" localSheetId="0">Simulação!$B$1:$F$90</definedName>
    <definedName name="DespAdm">Simulação!$D$8</definedName>
    <definedName name="EncSoc" localSheetId="1">Simulação!#REF!</definedName>
    <definedName name="EncSoc">Simulação!#REF!</definedName>
    <definedName name="ISS">Simulação!$E$8</definedName>
    <definedName name="MOD">Simulação!$C$8</definedName>
    <definedName name="Salarios" localSheetId="1">Simulação!#REF!</definedName>
    <definedName name="Salarios">Simulação!#REF!</definedName>
    <definedName name="Salários" localSheetId="1">Simulação!#REF!</definedName>
    <definedName name="Salários">Simulação!#REF!</definedName>
  </definedNames>
  <calcPr calcId="152511"/>
</workbook>
</file>

<file path=xl/calcChain.xml><?xml version="1.0" encoding="utf-8"?>
<calcChain xmlns="http://schemas.openxmlformats.org/spreadsheetml/2006/main">
  <c r="C11" i="14" l="1"/>
  <c r="D11" i="14"/>
  <c r="K45" i="14" l="1"/>
  <c r="K59" i="14" l="1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4" i="14"/>
  <c r="K43" i="14"/>
  <c r="K42" i="14"/>
  <c r="K41" i="14"/>
  <c r="K40" i="14"/>
  <c r="Q8" i="19" l="1"/>
  <c r="C13" i="14" s="1"/>
  <c r="Q9" i="19"/>
  <c r="C14" i="14" s="1"/>
  <c r="Q10" i="19"/>
  <c r="C15" i="14" s="1"/>
  <c r="Q11" i="19"/>
  <c r="C16" i="14" s="1"/>
  <c r="Q12" i="19"/>
  <c r="C17" i="14" s="1"/>
  <c r="Q13" i="19"/>
  <c r="C18" i="14" s="1"/>
  <c r="Q14" i="19"/>
  <c r="C19" i="14" s="1"/>
  <c r="Q15" i="19"/>
  <c r="C20" i="14" s="1"/>
  <c r="Q16" i="19"/>
  <c r="C21" i="14" s="1"/>
  <c r="Q17" i="19"/>
  <c r="C22" i="14" s="1"/>
  <c r="Q18" i="19"/>
  <c r="C23" i="14" s="1"/>
  <c r="Q19" i="19"/>
  <c r="C24" i="14" s="1"/>
  <c r="Q20" i="19"/>
  <c r="C25" i="14" s="1"/>
  <c r="Q21" i="19"/>
  <c r="C26" i="14" s="1"/>
  <c r="Q22" i="19"/>
  <c r="C27" i="14" s="1"/>
  <c r="Q23" i="19"/>
  <c r="C28" i="14" s="1"/>
  <c r="Q24" i="19"/>
  <c r="C29" i="14" s="1"/>
  <c r="Q25" i="19"/>
  <c r="C30" i="14" s="1"/>
  <c r="Q26" i="19"/>
  <c r="C31" i="14" s="1"/>
  <c r="Q7" i="19"/>
  <c r="C12" i="14" s="1"/>
  <c r="F8" i="14" l="1"/>
  <c r="C43" i="14" l="1"/>
  <c r="C51" i="14"/>
  <c r="C59" i="14"/>
  <c r="C44" i="14"/>
  <c r="C52" i="14"/>
  <c r="C41" i="14"/>
  <c r="C45" i="14"/>
  <c r="C49" i="14"/>
  <c r="C53" i="14"/>
  <c r="C57" i="14"/>
  <c r="C47" i="14"/>
  <c r="C55" i="14"/>
  <c r="C40" i="14"/>
  <c r="C48" i="14"/>
  <c r="C56" i="14"/>
  <c r="C42" i="14"/>
  <c r="C46" i="14"/>
  <c r="C50" i="14"/>
  <c r="C54" i="14"/>
  <c r="C58" i="14"/>
  <c r="F43" i="14"/>
  <c r="G43" i="14"/>
  <c r="F47" i="14"/>
  <c r="G47" i="14"/>
  <c r="F51" i="14"/>
  <c r="G51" i="14"/>
  <c r="F55" i="14"/>
  <c r="G55" i="14"/>
  <c r="F59" i="14"/>
  <c r="G59" i="14"/>
  <c r="F40" i="14"/>
  <c r="G40" i="14"/>
  <c r="F44" i="14"/>
  <c r="G44" i="14"/>
  <c r="F48" i="14"/>
  <c r="G48" i="14"/>
  <c r="F52" i="14"/>
  <c r="G52" i="14"/>
  <c r="F56" i="14"/>
  <c r="G56" i="14"/>
  <c r="F41" i="14"/>
  <c r="G41" i="14"/>
  <c r="F45" i="14"/>
  <c r="G45" i="14"/>
  <c r="F49" i="14"/>
  <c r="G49" i="14"/>
  <c r="F53" i="14"/>
  <c r="G53" i="14"/>
  <c r="F57" i="14"/>
  <c r="G57" i="14"/>
  <c r="F42" i="14"/>
  <c r="G42" i="14"/>
  <c r="F46" i="14"/>
  <c r="G46" i="14"/>
  <c r="F50" i="14"/>
  <c r="G50" i="14"/>
  <c r="F54" i="14"/>
  <c r="G54" i="14"/>
  <c r="F58" i="14"/>
  <c r="G58" i="14"/>
  <c r="B80" i="14"/>
  <c r="G80" i="14" s="1"/>
  <c r="B81" i="14"/>
  <c r="G81" i="14" s="1"/>
  <c r="D56" i="14"/>
  <c r="B67" i="14"/>
  <c r="G67" i="14" s="1"/>
  <c r="B74" i="14"/>
  <c r="G74" i="14" s="1"/>
  <c r="D49" i="14"/>
  <c r="B65" i="14"/>
  <c r="G65" i="14" s="1"/>
  <c r="B83" i="14"/>
  <c r="G83" i="14" s="1"/>
  <c r="B77" i="14"/>
  <c r="G77" i="14" s="1"/>
  <c r="D44" i="14"/>
  <c r="D58" i="14"/>
  <c r="D42" i="14"/>
  <c r="D45" i="14"/>
  <c r="D52" i="14"/>
  <c r="D43" i="14"/>
  <c r="D46" i="14"/>
  <c r="D59" i="14"/>
  <c r="B75" i="14"/>
  <c r="G75" i="14" s="1"/>
  <c r="D50" i="14"/>
  <c r="D41" i="14"/>
  <c r="D47" i="14"/>
  <c r="D55" i="14"/>
  <c r="D57" i="14"/>
  <c r="D40" i="14"/>
  <c r="D48" i="14"/>
  <c r="D51" i="14"/>
  <c r="D53" i="14"/>
  <c r="D54" i="14"/>
  <c r="B69" i="14"/>
  <c r="G69" i="14" s="1"/>
  <c r="B73" i="14"/>
  <c r="G73" i="14" s="1"/>
  <c r="B79" i="14"/>
  <c r="G79" i="14" s="1"/>
  <c r="B82" i="14"/>
  <c r="G82" i="14" s="1"/>
  <c r="B71" i="14"/>
  <c r="G71" i="14" s="1"/>
  <c r="B76" i="14"/>
  <c r="G76" i="14" s="1"/>
  <c r="B68" i="14"/>
  <c r="G68" i="14" s="1"/>
  <c r="B72" i="14"/>
  <c r="G72" i="14" s="1"/>
  <c r="B66" i="14"/>
  <c r="G66" i="14" s="1"/>
  <c r="B70" i="14"/>
  <c r="G70" i="14" s="1"/>
  <c r="B84" i="14"/>
  <c r="G84" i="14" s="1"/>
  <c r="B78" i="14"/>
  <c r="G78" i="14" s="1"/>
  <c r="E80" i="14" l="1"/>
  <c r="D81" i="14"/>
  <c r="C83" i="14"/>
  <c r="E67" i="14"/>
  <c r="E75" i="14"/>
  <c r="D65" i="14"/>
  <c r="E71" i="14"/>
  <c r="C81" i="14"/>
  <c r="E82" i="14"/>
  <c r="C77" i="14"/>
  <c r="C80" i="14"/>
  <c r="F69" i="14"/>
  <c r="F80" i="14"/>
  <c r="D80" i="14"/>
  <c r="F65" i="14"/>
  <c r="F77" i="14"/>
  <c r="C65" i="14"/>
  <c r="E45" i="14"/>
  <c r="H45" i="14" s="1"/>
  <c r="E81" i="14"/>
  <c r="E56" i="14"/>
  <c r="H56" i="14" s="1"/>
  <c r="I56" i="14" s="1"/>
  <c r="L56" i="14" s="1"/>
  <c r="D77" i="14"/>
  <c r="F81" i="14"/>
  <c r="F75" i="14"/>
  <c r="E53" i="14"/>
  <c r="H53" i="14" s="1"/>
  <c r="I53" i="14" s="1"/>
  <c r="L53" i="14" s="1"/>
  <c r="E58" i="14"/>
  <c r="H58" i="14" s="1"/>
  <c r="E44" i="14"/>
  <c r="H44" i="14" s="1"/>
  <c r="E79" i="14"/>
  <c r="E65" i="14"/>
  <c r="E83" i="14"/>
  <c r="E52" i="14"/>
  <c r="H52" i="14" s="1"/>
  <c r="E54" i="14"/>
  <c r="H54" i="14" s="1"/>
  <c r="I54" i="14" s="1"/>
  <c r="L54" i="14" s="1"/>
  <c r="E51" i="14"/>
  <c r="H51" i="14" s="1"/>
  <c r="E43" i="14"/>
  <c r="H43" i="14" s="1"/>
  <c r="E69" i="14"/>
  <c r="D83" i="14"/>
  <c r="D74" i="14"/>
  <c r="C74" i="14"/>
  <c r="F74" i="14"/>
  <c r="E47" i="14"/>
  <c r="H47" i="14" s="1"/>
  <c r="E46" i="14"/>
  <c r="H46" i="14" s="1"/>
  <c r="E49" i="14"/>
  <c r="H49" i="14" s="1"/>
  <c r="F83" i="14"/>
  <c r="E74" i="14"/>
  <c r="E42" i="14"/>
  <c r="H42" i="14" s="1"/>
  <c r="I42" i="14" s="1"/>
  <c r="L42" i="14" s="1"/>
  <c r="E48" i="14"/>
  <c r="H48" i="14" s="1"/>
  <c r="E50" i="14"/>
  <c r="H50" i="14" s="1"/>
  <c r="I50" i="14" s="1"/>
  <c r="L50" i="14" s="1"/>
  <c r="C67" i="14"/>
  <c r="F67" i="14"/>
  <c r="D67" i="14"/>
  <c r="E57" i="14"/>
  <c r="H57" i="14" s="1"/>
  <c r="I57" i="14" s="1"/>
  <c r="L57" i="14" s="1"/>
  <c r="E77" i="14"/>
  <c r="F76" i="14"/>
  <c r="E55" i="14"/>
  <c r="H55" i="14" s="1"/>
  <c r="C78" i="14"/>
  <c r="D78" i="14"/>
  <c r="C70" i="14"/>
  <c r="D70" i="14"/>
  <c r="C68" i="14"/>
  <c r="D68" i="14"/>
  <c r="C73" i="14"/>
  <c r="D73" i="14"/>
  <c r="F73" i="14"/>
  <c r="F79" i="14"/>
  <c r="C79" i="14"/>
  <c r="D79" i="14"/>
  <c r="C69" i="14"/>
  <c r="D69" i="14"/>
  <c r="E40" i="14"/>
  <c r="H40" i="14" s="1"/>
  <c r="I40" i="14" s="1"/>
  <c r="L40" i="14" s="1"/>
  <c r="C84" i="14"/>
  <c r="D84" i="14"/>
  <c r="F82" i="14"/>
  <c r="C82" i="14"/>
  <c r="D82" i="14"/>
  <c r="E73" i="14"/>
  <c r="C72" i="14"/>
  <c r="D72" i="14"/>
  <c r="E76" i="14"/>
  <c r="C76" i="14"/>
  <c r="D76" i="14"/>
  <c r="C75" i="14"/>
  <c r="D75" i="14"/>
  <c r="C66" i="14"/>
  <c r="D66" i="14"/>
  <c r="F71" i="14"/>
  <c r="C71" i="14"/>
  <c r="D71" i="14"/>
  <c r="E78" i="14"/>
  <c r="F78" i="14"/>
  <c r="F84" i="14"/>
  <c r="E84" i="14"/>
  <c r="F68" i="14"/>
  <c r="E68" i="14"/>
  <c r="E59" i="14"/>
  <c r="H59" i="14" s="1"/>
  <c r="I59" i="14" s="1"/>
  <c r="L59" i="14" s="1"/>
  <c r="E66" i="14"/>
  <c r="F66" i="14"/>
  <c r="F72" i="14"/>
  <c r="E72" i="14"/>
  <c r="E70" i="14"/>
  <c r="F70" i="14"/>
  <c r="E41" i="14"/>
  <c r="H41" i="14" s="1"/>
  <c r="I41" i="14" s="1"/>
  <c r="L41" i="14" s="1"/>
  <c r="H79" i="14" l="1"/>
  <c r="H73" i="14"/>
  <c r="M82" i="14"/>
  <c r="H75" i="14"/>
  <c r="H82" i="14"/>
  <c r="H70" i="14"/>
  <c r="H78" i="14"/>
  <c r="M76" i="14"/>
  <c r="H72" i="14"/>
  <c r="M69" i="14"/>
  <c r="M77" i="14"/>
  <c r="H67" i="14"/>
  <c r="H74" i="14"/>
  <c r="M83" i="14"/>
  <c r="M75" i="14"/>
  <c r="H81" i="14"/>
  <c r="H65" i="14"/>
  <c r="H80" i="14"/>
  <c r="H71" i="14"/>
  <c r="H83" i="14"/>
  <c r="H66" i="14"/>
  <c r="M80" i="14"/>
  <c r="H77" i="14"/>
  <c r="H76" i="14"/>
  <c r="M73" i="14"/>
  <c r="H69" i="14"/>
  <c r="H68" i="14"/>
  <c r="H84" i="14"/>
  <c r="M78" i="14"/>
  <c r="M79" i="14"/>
  <c r="M71" i="14"/>
  <c r="M84" i="14"/>
  <c r="M66" i="14"/>
  <c r="M68" i="14"/>
  <c r="M70" i="14"/>
  <c r="M65" i="14"/>
  <c r="M81" i="14"/>
  <c r="M72" i="14"/>
  <c r="M67" i="14"/>
  <c r="M74" i="14"/>
  <c r="K80" i="14"/>
  <c r="L80" i="14"/>
  <c r="J80" i="14"/>
  <c r="P80" i="14"/>
  <c r="O80" i="14"/>
  <c r="I80" i="14"/>
  <c r="I55" i="14"/>
  <c r="I45" i="14"/>
  <c r="I47" i="14"/>
  <c r="I52" i="14"/>
  <c r="I44" i="14"/>
  <c r="I48" i="14"/>
  <c r="I49" i="14"/>
  <c r="I51" i="14"/>
  <c r="I43" i="14"/>
  <c r="I46" i="14"/>
  <c r="I58" i="14"/>
  <c r="N80" i="14"/>
  <c r="P40" i="14"/>
  <c r="M40" i="14"/>
  <c r="Q80" i="14"/>
  <c r="K77" i="14"/>
  <c r="P81" i="14"/>
  <c r="O74" i="14"/>
  <c r="L83" i="14"/>
  <c r="K81" i="14"/>
  <c r="O67" i="14"/>
  <c r="K75" i="14"/>
  <c r="N74" i="14"/>
  <c r="O81" i="14"/>
  <c r="J81" i="14"/>
  <c r="Q69" i="14"/>
  <c r="N81" i="14"/>
  <c r="Q77" i="14"/>
  <c r="K79" i="14"/>
  <c r="Q81" i="14"/>
  <c r="O40" i="14"/>
  <c r="L81" i="14"/>
  <c r="I81" i="14"/>
  <c r="P77" i="14"/>
  <c r="K74" i="14"/>
  <c r="I65" i="14"/>
  <c r="J40" i="14"/>
  <c r="J65" i="14"/>
  <c r="P79" i="14"/>
  <c r="I75" i="14"/>
  <c r="Q65" i="14"/>
  <c r="O65" i="14"/>
  <c r="J67" i="14"/>
  <c r="P65" i="14"/>
  <c r="K67" i="14"/>
  <c r="Q83" i="14"/>
  <c r="K65" i="14"/>
  <c r="I67" i="14"/>
  <c r="L65" i="14"/>
  <c r="N65" i="14"/>
  <c r="N75" i="14"/>
  <c r="N67" i="14"/>
  <c r="P74" i="14"/>
  <c r="O83" i="14"/>
  <c r="P67" i="14"/>
  <c r="J57" i="14"/>
  <c r="L74" i="14"/>
  <c r="P83" i="14"/>
  <c r="N83" i="14"/>
  <c r="Q67" i="14"/>
  <c r="L71" i="14"/>
  <c r="J75" i="14"/>
  <c r="K69" i="14"/>
  <c r="J74" i="14"/>
  <c r="J83" i="14"/>
  <c r="I74" i="14"/>
  <c r="I79" i="14"/>
  <c r="O76" i="14"/>
  <c r="N79" i="14"/>
  <c r="L67" i="14"/>
  <c r="Q74" i="14"/>
  <c r="N71" i="14"/>
  <c r="I83" i="14"/>
  <c r="L75" i="14"/>
  <c r="N69" i="14"/>
  <c r="I71" i="14"/>
  <c r="O79" i="14"/>
  <c r="O69" i="14"/>
  <c r="K83" i="14"/>
  <c r="L76" i="14"/>
  <c r="P82" i="14"/>
  <c r="L77" i="14"/>
  <c r="K71" i="14"/>
  <c r="O77" i="14"/>
  <c r="P69" i="14"/>
  <c r="I77" i="14"/>
  <c r="I68" i="14"/>
  <c r="J77" i="14"/>
  <c r="O71" i="14"/>
  <c r="N77" i="14"/>
  <c r="N40" i="14"/>
  <c r="P71" i="14"/>
  <c r="O50" i="14"/>
  <c r="Q82" i="14"/>
  <c r="Q71" i="14"/>
  <c r="K82" i="14"/>
  <c r="J73" i="14"/>
  <c r="L69" i="14"/>
  <c r="O70" i="14"/>
  <c r="N82" i="14"/>
  <c r="I76" i="14"/>
  <c r="K78" i="14"/>
  <c r="L79" i="14"/>
  <c r="I73" i="14"/>
  <c r="L82" i="14"/>
  <c r="P66" i="14"/>
  <c r="J76" i="14"/>
  <c r="J71" i="14"/>
  <c r="P68" i="14"/>
  <c r="I69" i="14"/>
  <c r="Q76" i="14"/>
  <c r="I78" i="14"/>
  <c r="Q79" i="14"/>
  <c r="Q73" i="14"/>
  <c r="J79" i="14"/>
  <c r="J69" i="14"/>
  <c r="I82" i="14"/>
  <c r="O73" i="14"/>
  <c r="N84" i="14"/>
  <c r="N76" i="14"/>
  <c r="P73" i="14"/>
  <c r="O75" i="14"/>
  <c r="N70" i="14"/>
  <c r="P76" i="14"/>
  <c r="I72" i="14"/>
  <c r="K73" i="14"/>
  <c r="P75" i="14"/>
  <c r="K76" i="14"/>
  <c r="N73" i="14"/>
  <c r="Q75" i="14"/>
  <c r="L73" i="14"/>
  <c r="L84" i="14"/>
  <c r="N66" i="14"/>
  <c r="L66" i="14"/>
  <c r="O68" i="14"/>
  <c r="K84" i="14"/>
  <c r="N78" i="14"/>
  <c r="J54" i="14"/>
  <c r="L70" i="14"/>
  <c r="O78" i="14"/>
  <c r="O82" i="14"/>
  <c r="J82" i="14"/>
  <c r="Q70" i="14"/>
  <c r="Q72" i="14"/>
  <c r="J66" i="14"/>
  <c r="L68" i="14"/>
  <c r="P78" i="14"/>
  <c r="P56" i="14"/>
  <c r="M56" i="14"/>
  <c r="N56" i="14"/>
  <c r="O56" i="14"/>
  <c r="J70" i="14"/>
  <c r="P70" i="14"/>
  <c r="K70" i="14"/>
  <c r="P53" i="14"/>
  <c r="O53" i="14"/>
  <c r="M53" i="14"/>
  <c r="N53" i="14"/>
  <c r="K72" i="14"/>
  <c r="N72" i="14"/>
  <c r="K66" i="14"/>
  <c r="N68" i="14"/>
  <c r="Q68" i="14"/>
  <c r="J84" i="14"/>
  <c r="I84" i="14"/>
  <c r="L78" i="14"/>
  <c r="I70" i="14"/>
  <c r="J53" i="14"/>
  <c r="O72" i="14"/>
  <c r="I66" i="14"/>
  <c r="J68" i="14"/>
  <c r="P84" i="14"/>
  <c r="O84" i="14"/>
  <c r="Q84" i="14"/>
  <c r="J78" i="14"/>
  <c r="Q78" i="14"/>
  <c r="J72" i="14"/>
  <c r="L72" i="14"/>
  <c r="O66" i="14"/>
  <c r="Q66" i="14"/>
  <c r="J59" i="14"/>
  <c r="J56" i="14"/>
  <c r="J41" i="14"/>
  <c r="J42" i="14"/>
  <c r="P72" i="14"/>
  <c r="K68" i="14"/>
  <c r="F13" i="14" l="1"/>
  <c r="E20" i="14"/>
  <c r="E26" i="14"/>
  <c r="F29" i="14"/>
  <c r="E22" i="14"/>
  <c r="F14" i="14"/>
  <c r="F18" i="14"/>
  <c r="E18" i="14"/>
  <c r="E25" i="14"/>
  <c r="F17" i="14"/>
  <c r="E15" i="14"/>
  <c r="F22" i="14"/>
  <c r="E24" i="14"/>
  <c r="F24" i="14"/>
  <c r="F15" i="14"/>
  <c r="E16" i="14"/>
  <c r="F30" i="14"/>
  <c r="F16" i="14"/>
  <c r="E17" i="14"/>
  <c r="E21" i="14"/>
  <c r="E27" i="14"/>
  <c r="D25" i="14"/>
  <c r="D28" i="14"/>
  <c r="F21" i="14"/>
  <c r="F12" i="14"/>
  <c r="F31" i="14"/>
  <c r="E31" i="14"/>
  <c r="E23" i="14"/>
  <c r="E30" i="14"/>
  <c r="E28" i="14"/>
  <c r="E14" i="14"/>
  <c r="F23" i="14"/>
  <c r="F19" i="14"/>
  <c r="F26" i="14"/>
  <c r="F27" i="14"/>
  <c r="E29" i="14"/>
  <c r="F28" i="14"/>
  <c r="F25" i="14"/>
  <c r="F20" i="14"/>
  <c r="E13" i="14"/>
  <c r="E12" i="14"/>
  <c r="E19" i="14"/>
  <c r="D12" i="14"/>
  <c r="J44" i="14"/>
  <c r="L44" i="14"/>
  <c r="J51" i="14"/>
  <c r="L51" i="14"/>
  <c r="N52" i="14"/>
  <c r="L52" i="14"/>
  <c r="O46" i="14"/>
  <c r="L46" i="14"/>
  <c r="J48" i="14"/>
  <c r="L48" i="14"/>
  <c r="J45" i="14"/>
  <c r="L45" i="14"/>
  <c r="N43" i="14"/>
  <c r="L43" i="14"/>
  <c r="N55" i="14"/>
  <c r="L55" i="14"/>
  <c r="N58" i="14"/>
  <c r="L58" i="14"/>
  <c r="P49" i="14"/>
  <c r="L49" i="14"/>
  <c r="O47" i="14"/>
  <c r="L47" i="14"/>
  <c r="N45" i="14"/>
  <c r="O45" i="14"/>
  <c r="M48" i="14"/>
  <c r="O58" i="14"/>
  <c r="M45" i="14"/>
  <c r="P48" i="14"/>
  <c r="P46" i="14"/>
  <c r="N46" i="14"/>
  <c r="J46" i="14"/>
  <c r="O52" i="14"/>
  <c r="J47" i="14"/>
  <c r="N51" i="14"/>
  <c r="O51" i="14"/>
  <c r="N47" i="14"/>
  <c r="P51" i="14"/>
  <c r="O48" i="14"/>
  <c r="N44" i="14"/>
  <c r="P55" i="14"/>
  <c r="P43" i="14"/>
  <c r="P52" i="14"/>
  <c r="M52" i="14"/>
  <c r="P58" i="14"/>
  <c r="M55" i="14"/>
  <c r="P47" i="14"/>
  <c r="M49" i="14"/>
  <c r="M47" i="14"/>
  <c r="J49" i="14"/>
  <c r="J58" i="14"/>
  <c r="J43" i="14"/>
  <c r="N49" i="14"/>
  <c r="O44" i="14"/>
  <c r="J55" i="14"/>
  <c r="M58" i="14"/>
  <c r="O55" i="14"/>
  <c r="M43" i="14"/>
  <c r="O43" i="14"/>
  <c r="P44" i="14"/>
  <c r="M44" i="14"/>
  <c r="P45" i="14"/>
  <c r="M51" i="14"/>
  <c r="O49" i="14"/>
  <c r="N48" i="14"/>
  <c r="M46" i="14"/>
  <c r="J52" i="14"/>
  <c r="P57" i="14"/>
  <c r="N57" i="14"/>
  <c r="M57" i="14"/>
  <c r="O57" i="14"/>
  <c r="M50" i="14"/>
  <c r="P50" i="14"/>
  <c r="N50" i="14"/>
  <c r="J50" i="14"/>
  <c r="N54" i="14"/>
  <c r="O54" i="14"/>
  <c r="P54" i="14"/>
  <c r="M54" i="14"/>
  <c r="N41" i="14"/>
  <c r="P41" i="14"/>
  <c r="M41" i="14"/>
  <c r="O41" i="14"/>
  <c r="P59" i="14"/>
  <c r="O59" i="14"/>
  <c r="M59" i="14"/>
  <c r="N59" i="14"/>
  <c r="O42" i="14"/>
  <c r="P42" i="14"/>
  <c r="N42" i="14"/>
  <c r="M42" i="14"/>
  <c r="D31" i="14" l="1"/>
  <c r="D15" i="14"/>
  <c r="D19" i="14"/>
  <c r="D30" i="14"/>
  <c r="D24" i="14"/>
  <c r="D22" i="14"/>
  <c r="D29" i="14"/>
  <c r="D13" i="14"/>
  <c r="D26" i="14"/>
  <c r="D14" i="14"/>
  <c r="D20" i="14"/>
  <c r="D21" i="14"/>
  <c r="D27" i="14"/>
  <c r="D17" i="14"/>
  <c r="D18" i="14"/>
  <c r="D23" i="14"/>
  <c r="D16" i="14"/>
</calcChain>
</file>

<file path=xl/sharedStrings.xml><?xml version="1.0" encoding="utf-8"?>
<sst xmlns="http://schemas.openxmlformats.org/spreadsheetml/2006/main" count="352" uniqueCount="190">
  <si>
    <t>ISS</t>
  </si>
  <si>
    <t xml:space="preserve"> </t>
  </si>
  <si>
    <t>( - ) MOD</t>
  </si>
  <si>
    <t>( + ) Receita Bruta</t>
  </si>
  <si>
    <t>( = ) Receita Líquida</t>
  </si>
  <si>
    <t>( + ) Lucro Liquido</t>
  </si>
  <si>
    <t>( - ) Desp. Admin/Financ</t>
  </si>
  <si>
    <t>LUCRO REAL</t>
  </si>
  <si>
    <t>( + ) Lucro Antes IR/CSLL</t>
  </si>
  <si>
    <t>( - ) IRPJ/CSLL</t>
  </si>
  <si>
    <t>Impostos Incidentes</t>
  </si>
  <si>
    <t>Despesas Operacionais</t>
  </si>
  <si>
    <t>ISS 2%</t>
  </si>
  <si>
    <t>ISS 3%</t>
  </si>
  <si>
    <t>ISS 5%</t>
  </si>
  <si>
    <t>ISS 4%</t>
  </si>
  <si>
    <t xml:space="preserve">Estimativa da CPP </t>
  </si>
  <si>
    <t>Carga Tributária do Lucro Real</t>
  </si>
  <si>
    <t>LUCRO PRESUMIDO</t>
  </si>
  <si>
    <t>IRPJ (BC 16%)</t>
  </si>
  <si>
    <t>IRPJ (BC 32%)</t>
  </si>
  <si>
    <t>CSLL - 9% (BC 32%)</t>
  </si>
  <si>
    <t>Pis/Cofins  (3,65%)</t>
  </si>
  <si>
    <t>Carga Tributária do LP (BC IR 16%)</t>
  </si>
  <si>
    <t>Carga Tributária do LP (BC IR 32%)</t>
  </si>
  <si>
    <t>L. Pres.- IRPJ (15% + 10% adic)</t>
  </si>
  <si>
    <t>Demonstraçao do Resultado do Exercício - Simulação por Faixa de Faturamento</t>
  </si>
  <si>
    <t>Pis/Cofins (3,65%)</t>
  </si>
  <si>
    <t>Lucro Antes IRPJ/CSLL</t>
  </si>
  <si>
    <t>INTENSIDADE DE DESPESAS</t>
  </si>
  <si>
    <t>TABELA DO SIMPLES NACIONAL</t>
  </si>
  <si>
    <t>Alíquota</t>
  </si>
  <si>
    <t xml:space="preserve">ANEXO III DA LEI COMPLEMENTAR Nº 123, DE 14 DE DEZEMBRO DE 2006  (vigência: 01/01/2012) </t>
  </si>
  <si>
    <r>
      <t>Receitas de Locação de Bens Móveis e de Prestação de Serviços não relacionados nos §§ 5</t>
    </r>
    <r>
      <rPr>
        <strike/>
        <sz val="9"/>
        <color theme="1"/>
        <rFont val="Arial"/>
        <family val="2"/>
      </rPr>
      <t>º</t>
    </r>
    <r>
      <rPr>
        <sz val="9"/>
        <color theme="1"/>
        <rFont val="Arial"/>
        <family val="2"/>
      </rPr>
      <t>-C e 5</t>
    </r>
    <r>
      <rPr>
        <strike/>
        <sz val="9"/>
        <color theme="1"/>
        <rFont val="Arial"/>
        <family val="2"/>
      </rPr>
      <t>º</t>
    </r>
    <r>
      <rPr>
        <sz val="9"/>
        <color theme="1"/>
        <rFont val="Arial"/>
        <family val="2"/>
      </rPr>
      <t xml:space="preserve">-D do art. 18 desta Lei Complementar. </t>
    </r>
  </si>
  <si>
    <t xml:space="preserve">Receita Bruta em 12 meses (em R$) </t>
  </si>
  <si>
    <t>Anexo III</t>
  </si>
  <si>
    <t>Anexo IV</t>
  </si>
  <si>
    <t>Anexo V</t>
  </si>
  <si>
    <t>Anexo VI</t>
  </si>
  <si>
    <t>Tabela do Simples</t>
  </si>
  <si>
    <t>SECCIONAL</t>
  </si>
  <si>
    <t>Advogado</t>
  </si>
  <si>
    <t>Estagiário</t>
  </si>
  <si>
    <t>Suplementar</t>
  </si>
  <si>
    <t>TOTAL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</si>
  <si>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</si>
  <si>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</si>
  <si>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</si>
  <si>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</si>
  <si>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</si>
  <si>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</si>
  <si>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</si>
  <si>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</si>
  <si>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</si>
  <si>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</si>
  <si>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</si>
  <si>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</si>
  <si>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</si>
  <si>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</si>
  <si>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</si>
  <si>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</si>
  <si>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</si>
  <si>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</si>
  <si>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</si>
  <si>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</si>
  <si>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</si>
  <si>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</si>
  <si>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</si>
  <si>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</si>
  <si>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</si>
  <si>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</si>
  <si>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</si>
  <si>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Advogados</t>
  </si>
  <si>
    <t>Faixa Etária</t>
  </si>
  <si>
    <t>Feminino</t>
  </si>
  <si>
    <t>Masculino</t>
  </si>
  <si>
    <t>Até 25 Anos</t>
  </si>
  <si>
    <t>De 26 à 40 Anos</t>
  </si>
  <si>
    <t>De 41 à 59 Anos</t>
  </si>
  <si>
    <t>De 60 Anos ou Mais</t>
  </si>
  <si>
    <t>Esta página é programada para ser atualizada todos os dias às 00:01.</t>
  </si>
  <si>
    <t>CREFITO 1 3.123 3,9 0,17</t>
  </si>
  <si>
    <t>Alagoas 191 - -</t>
  </si>
  <si>
    <t xml:space="preserve">Paraíba 972 - - </t>
  </si>
  <si>
    <t xml:space="preserve">Pernambuco 1.275 - - </t>
  </si>
  <si>
    <t xml:space="preserve">Rio Grande do Norte 685 - - </t>
  </si>
  <si>
    <t>CREFITO 2 20.065 25,3 1,07</t>
  </si>
  <si>
    <t xml:space="preserve">Rio de Janeiro 18.599 - - </t>
  </si>
  <si>
    <t xml:space="preserve">Espírito Santo 1.466 - - </t>
  </si>
  <si>
    <t>CREFITO 3 25.147 31,7 0,6</t>
  </si>
  <si>
    <t xml:space="preserve">São Paulo 25.147 - - </t>
  </si>
  <si>
    <t>CREFITO 4 7.497 9,4 0,39</t>
  </si>
  <si>
    <t xml:space="preserve">Minas Gerais 7.497 - - </t>
  </si>
  <si>
    <t>CREFITO 5 4.022 5,1 0,37</t>
  </si>
  <si>
    <t xml:space="preserve">Rio Grande do Sul 4.022 - - </t>
  </si>
  <si>
    <t>CREFITO 6 2.782 3,5 0,25</t>
  </si>
  <si>
    <t xml:space="preserve">Ceará 2.606 - - </t>
  </si>
  <si>
    <t xml:space="preserve">Piauí 176 - - </t>
  </si>
  <si>
    <t>CREFITO 7 2.821 3,6 0,18</t>
  </si>
  <si>
    <t xml:space="preserve">Bahia 2.469 - - </t>
  </si>
  <si>
    <t xml:space="preserve">Sergipe 352 - - </t>
  </si>
  <si>
    <t>CREFITO 8 5.607 7,1 0,55</t>
  </si>
  <si>
    <t xml:space="preserve">Paraná 5.607 - - </t>
  </si>
  <si>
    <t>CREFITO 9 2.211 2,8 0,3</t>
  </si>
  <si>
    <t xml:space="preserve">Mato Grosso 877 - - </t>
  </si>
  <si>
    <t xml:space="preserve">Mato grosso do Sul 1.111 - - </t>
  </si>
  <si>
    <t xml:space="preserve">Acre 65 - - </t>
  </si>
  <si>
    <t xml:space="preserve">Rondônia 158 - - </t>
  </si>
  <si>
    <t>CREFITO 10 2.286 2,9 0,39</t>
  </si>
  <si>
    <t xml:space="preserve">Santa Catarina 2.286 - - </t>
  </si>
  <si>
    <t>CREFITO 11 2.577 3,2 0,32</t>
  </si>
  <si>
    <t xml:space="preserve">Goiás 1.160 - - </t>
  </si>
  <si>
    <t xml:space="preserve">Distrito Federal 1.417 - - </t>
  </si>
  <si>
    <t>CREFITO 12 1.217 1,5 0,07</t>
  </si>
  <si>
    <t xml:space="preserve">Amazonas 123 - - </t>
  </si>
  <si>
    <t xml:space="preserve">Amapá 92 - - </t>
  </si>
  <si>
    <t xml:space="preserve">Maranhão 266 - - </t>
  </si>
  <si>
    <t xml:space="preserve">Pará 708 - - </t>
  </si>
  <si>
    <t xml:space="preserve">Roraima 28 - - </t>
  </si>
  <si>
    <t>Total Geral 79.382 100 0,43</t>
  </si>
  <si>
    <t xml:space="preserve">Fonte: BRASIL, 2006a, p. 208. </t>
  </si>
  <si>
    <t>Organização: ALMEIDA, Ana Lucia de Jesus</t>
  </si>
  <si>
    <t>Anexo II</t>
  </si>
  <si>
    <t>Anexo I</t>
  </si>
  <si>
    <t>Até 180.000,00</t>
  </si>
  <si>
    <t>De 180.000,01 a 360.000,00</t>
  </si>
  <si>
    <t>De 360.000,01 a 540.000,00</t>
  </si>
  <si>
    <t>De 540.000,01 a 720.000,00</t>
  </si>
  <si>
    <t>De 720.000,01 a 900.000,00</t>
  </si>
  <si>
    <t>De 900.000,01 a 1.080.000,00</t>
  </si>
  <si>
    <t>De 1.080.000,01 a 1.260.000,00</t>
  </si>
  <si>
    <t>De 1.260.000,01 a 1.440.000,00</t>
  </si>
  <si>
    <t>De 1.440.000,01 a 1.620.000,00</t>
  </si>
  <si>
    <t>De 1.620.000,01 a 1.800.000,00</t>
  </si>
  <si>
    <t>De 1.800.000,01 a 1.980.000,00</t>
  </si>
  <si>
    <t>De 1.980.000,01 a 2.160.000,00</t>
  </si>
  <si>
    <t>De 2.160.000,01 a 2.340.000,00</t>
  </si>
  <si>
    <t>De 2.340.000,01 a 2.520.000,00</t>
  </si>
  <si>
    <t>De 2.520.000,01 a 2.700.000,00</t>
  </si>
  <si>
    <t>De 2.700.000,01 a 2.880.000,00</t>
  </si>
  <si>
    <t>De 2.880.000,01 a 3.060.000,00</t>
  </si>
  <si>
    <t>De 3.060.000,01 a 3.240.000,00</t>
  </si>
  <si>
    <t>De 3.240.000,01 a 3.420.000,00</t>
  </si>
  <si>
    <t>De 3.420.000,01 a 3.600.000,00</t>
  </si>
  <si>
    <t>ANEXO I</t>
  </si>
  <si>
    <t>ANEXO II</t>
  </si>
  <si>
    <t xml:space="preserve">Alíquota </t>
  </si>
  <si>
    <t xml:space="preserve">IRPJ </t>
  </si>
  <si>
    <t xml:space="preserve">CSLL </t>
  </si>
  <si>
    <t xml:space="preserve">Cofins </t>
  </si>
  <si>
    <t xml:space="preserve">PIS/Pasep </t>
  </si>
  <si>
    <t xml:space="preserve">CPP </t>
  </si>
  <si>
    <t xml:space="preserve">ICMS </t>
  </si>
  <si>
    <t xml:space="preserve">IPI </t>
  </si>
  <si>
    <t xml:space="preserve">Até 180.000,00 </t>
  </si>
  <si>
    <t xml:space="preserve">De 180.000,01 a 360.000,00 </t>
  </si>
  <si>
    <t xml:space="preserve">De 360.000,01 a 540.000,00 </t>
  </si>
  <si>
    <t xml:space="preserve">De 540.000,01 a 720.000,00 </t>
  </si>
  <si>
    <t xml:space="preserve">De 720.000,01 a 900.000,00 </t>
  </si>
  <si>
    <t xml:space="preserve">De 900.000,01 a 1.080.000,00 </t>
  </si>
  <si>
    <t xml:space="preserve">De 1.080.000,01 a 1.260.000,00 </t>
  </si>
  <si>
    <t xml:space="preserve">De 1.260.000,01 a 1.440.000,00 </t>
  </si>
  <si>
    <t xml:space="preserve">De 1.440.000,01 a 1.620.000,00 </t>
  </si>
  <si>
    <t xml:space="preserve">De 1.620.000,01 a 1.800.000,00 </t>
  </si>
  <si>
    <t xml:space="preserve">De 1.800.000,01 a 1.980.000,00 </t>
  </si>
  <si>
    <t xml:space="preserve">De 1.980.000,01 a 2.160.000,00 </t>
  </si>
  <si>
    <t xml:space="preserve">De 2.160.000,01 a 2.340.000,00 </t>
  </si>
  <si>
    <t xml:space="preserve">De 2.340.000,01 a 2.520.000,00 </t>
  </si>
  <si>
    <t xml:space="preserve">De 2.520.000,01 a 2.700.000,00 </t>
  </si>
  <si>
    <t xml:space="preserve">De 2.700.000,01 a 2.880.000,00 </t>
  </si>
  <si>
    <t xml:space="preserve">De 2.880.000,01 a 3.060.000,00 </t>
  </si>
  <si>
    <t xml:space="preserve">De 3.060.000,01 a 3.240.000,00 </t>
  </si>
  <si>
    <t xml:space="preserve">De 3.240.000,01 a 3.420.000,00 </t>
  </si>
  <si>
    <t xml:space="preserve">De 3.420.000,01 a 3.600.000,00 </t>
  </si>
  <si>
    <t>Não mexer nessa coluna</t>
  </si>
  <si>
    <t>ISS 0%</t>
  </si>
  <si>
    <t>a</t>
  </si>
  <si>
    <t>Receita Bruta até</t>
  </si>
  <si>
    <t>Desp. Adm/Fin/Custos</t>
  </si>
  <si>
    <r>
      <t xml:space="preserve">Alíquota de ISS
</t>
    </r>
    <r>
      <rPr>
        <sz val="8"/>
        <color theme="0"/>
        <rFont val="Arial"/>
        <family val="2"/>
      </rPr>
      <t>(p/ Lucro real e Presumido)</t>
    </r>
  </si>
  <si>
    <t>Este é o planejamento tributário mais elementar que uma empresa deve fazer.</t>
  </si>
  <si>
    <t>Há no Brasil 11,4 milhões de combinações de regras tributárias. Conhecer todas elas é fundamental para sobreviver no mercado competitivo.</t>
  </si>
  <si>
    <t>Mão de Obra</t>
  </si>
  <si>
    <t>Lucro Presumido 16%(²)</t>
  </si>
  <si>
    <t>Lucro Presumido 32%¹</t>
  </si>
  <si>
    <t>¹ Foi considerado um valor aproximado de 24% de encargos sociais sobre a folha de pagamento</t>
  </si>
  <si>
    <t>Conte com quem mais entende de tributos. Para planejamentos tributários mais complexos, contrate o IBPT. Acesse www.ibpt.org.br.</t>
  </si>
  <si>
    <t>SIMULAÇÃO DA CARGA TRIBUTÁRIA NOS REGIMES LUCRO REAL, PRESUMIDO E SIMPLES</t>
  </si>
  <si>
    <t xml:space="preserve">² Essa carga tributária deve ser considerada apenas por empresas de serviços de transporte (que não sejam carga) e empresas de serviços que não se sujeitam a 32%, até o faturamento de R$ 120 mil </t>
  </si>
  <si>
    <t>Versão 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</si>
</sst>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trike/>
      <sz val="9"/>
      <color theme="1"/>
      <name val="Arial"/>
      <family val="2"/>
    </font>
    <font>
      <sz val="11"/>
      <color rgb="FF4B4C4C"/>
      <name val="Inherit"/>
    </font>
    <font>
      <b/>
      <sz val="9"/>
      <color theme="1"/>
      <name val="Inherit"/>
    </font>
    <font>
      <sz val="9"/>
      <color theme="1"/>
      <name val="Calibri"/>
      <family val="2"/>
      <scheme val="minor"/>
    </font>
    <font>
      <sz val="9"/>
      <color rgb="FF4B4C4C"/>
      <name val="Inherit"/>
    </font>
    <font>
      <sz val="11"/>
      <color theme="1"/>
      <name val="Inherit"/>
    </font>
    <font>
      <sz val="11"/>
      <color theme="1"/>
      <name val="Arial"/>
      <family val="2"/>
    </font>
    <font>
      <b/>
      <sz val="11"/>
      <color theme="1"/>
      <name val="Inherit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Courier New"/>
      <family val="3"/>
    </font>
    <font>
      <sz val="10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sz val="9"/>
      <color rgb="FF002060"/>
      <name val="Arial"/>
      <family val="2"/>
    </font>
    <font>
      <sz val="11"/>
      <color rgb="FF2C528E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2C528E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AF5"/>
        <bgColor indexed="64"/>
      </patternFill>
    </fill>
    <fill>
      <patternFill patternType="solid">
        <fgColor rgb="FFE9B721"/>
        <bgColor indexed="64"/>
      </patternFill>
    </fill>
    <fill>
      <patternFill patternType="solid">
        <fgColor rgb="FFE1E2E4"/>
        <bgColor indexed="64"/>
      </patternFill>
    </fill>
    <fill>
      <patternFill patternType="solid">
        <fgColor rgb="FF2C528E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9F9F9"/>
      </right>
      <top style="thick">
        <color rgb="FFF9F9F9"/>
      </top>
      <bottom/>
      <diagonal/>
    </border>
    <border>
      <left/>
      <right style="thick">
        <color rgb="FFF9F9F9"/>
      </right>
      <top/>
      <bottom/>
      <diagonal/>
    </border>
    <border>
      <left/>
      <right style="thick">
        <color rgb="FFF9F9F9"/>
      </right>
      <top/>
      <bottom style="thick">
        <color rgb="FFF9F9F9"/>
      </bottom>
      <diagonal/>
    </border>
    <border>
      <left style="thick">
        <color rgb="FFF9F9F9"/>
      </left>
      <right/>
      <top style="thick">
        <color rgb="FFF9F9F9"/>
      </top>
      <bottom style="thick">
        <color rgb="FFF9F9F9"/>
      </bottom>
      <diagonal/>
    </border>
    <border>
      <left/>
      <right/>
      <top style="thick">
        <color rgb="FFF9F9F9"/>
      </top>
      <bottom style="thick">
        <color rgb="FFF9F9F9"/>
      </bottom>
      <diagonal/>
    </border>
    <border>
      <left/>
      <right style="thick">
        <color rgb="FFF9F9F9"/>
      </right>
      <top style="thick">
        <color rgb="FFF9F9F9"/>
      </top>
      <bottom style="thick">
        <color rgb="FFF9F9F9"/>
      </bottom>
      <diagonal/>
    </border>
    <border>
      <left style="thick">
        <color rgb="FFF9F9F9"/>
      </left>
      <right style="thick">
        <color rgb="FFF9F9F9"/>
      </right>
      <top style="thick">
        <color rgb="FFF9F9F9"/>
      </top>
      <bottom/>
      <diagonal/>
    </border>
    <border>
      <left style="thick">
        <color rgb="FFF9F9F9"/>
      </left>
      <right style="thick">
        <color rgb="FFF9F9F9"/>
      </right>
      <top/>
      <bottom style="thick">
        <color rgb="FFF9F9F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n">
        <color rgb="FF2C528E"/>
      </left>
      <right style="thin">
        <color rgb="FF2C528E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Font="1"/>
    <xf numFmtId="0" fontId="4" fillId="0" borderId="0" xfId="0" applyFont="1"/>
    <xf numFmtId="0" fontId="7" fillId="0" borderId="0" xfId="0" applyFont="1" applyAlignment="1">
      <alignment horizontal="left" vertical="center"/>
    </xf>
    <xf numFmtId="9" fontId="5" fillId="0" borderId="23" xfId="0" applyNumberFormat="1" applyFont="1" applyBorder="1" applyAlignment="1">
      <alignment wrapText="1"/>
    </xf>
    <xf numFmtId="9" fontId="5" fillId="0" borderId="23" xfId="0" applyNumberFormat="1" applyFont="1" applyBorder="1" applyAlignment="1">
      <alignment horizontal="center" wrapText="1"/>
    </xf>
    <xf numFmtId="165" fontId="2" fillId="11" borderId="23" xfId="1" applyNumberFormat="1" applyFont="1" applyFill="1" applyBorder="1" applyAlignment="1">
      <alignment horizontal="center"/>
    </xf>
    <xf numFmtId="10" fontId="7" fillId="0" borderId="23" xfId="0" applyNumberFormat="1" applyFont="1" applyBorder="1" applyAlignment="1">
      <alignment horizontal="right" vertical="center" wrapText="1"/>
    </xf>
    <xf numFmtId="10" fontId="6" fillId="12" borderId="23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 wrapText="1"/>
    </xf>
    <xf numFmtId="0" fontId="9" fillId="12" borderId="24" xfId="0" applyFont="1" applyFill="1" applyBorder="1" applyAlignment="1">
      <alignment horizontal="center" vertical="center" wrapText="1"/>
    </xf>
    <xf numFmtId="3" fontId="9" fillId="12" borderId="24" xfId="0" applyNumberFormat="1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3" fontId="9" fillId="13" borderId="24" xfId="0" applyNumberFormat="1" applyFont="1" applyFill="1" applyBorder="1" applyAlignment="1">
      <alignment horizontal="center" vertical="center" wrapText="1"/>
    </xf>
    <xf numFmtId="0" fontId="10" fillId="13" borderId="24" xfId="0" applyFont="1" applyFill="1" applyBorder="1" applyAlignment="1">
      <alignment horizontal="center" vertical="center" wrapText="1"/>
    </xf>
    <xf numFmtId="0" fontId="11" fillId="0" borderId="0" xfId="0" applyFont="1"/>
    <xf numFmtId="3" fontId="10" fillId="13" borderId="24" xfId="0" applyNumberFormat="1" applyFont="1" applyFill="1" applyBorder="1" applyAlignment="1">
      <alignment horizontal="center" vertical="center" wrapText="1"/>
    </xf>
    <xf numFmtId="0" fontId="12" fillId="12" borderId="24" xfId="0" applyFont="1" applyFill="1" applyBorder="1" applyAlignment="1">
      <alignment horizontal="center" vertical="center" wrapText="1"/>
    </xf>
    <xf numFmtId="3" fontId="12" fillId="12" borderId="24" xfId="0" applyNumberFormat="1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wrapText="1"/>
    </xf>
    <xf numFmtId="3" fontId="13" fillId="13" borderId="24" xfId="0" applyNumberFormat="1" applyFont="1" applyFill="1" applyBorder="1" applyAlignment="1">
      <alignment horizontal="center" vertical="center" wrapText="1"/>
    </xf>
    <xf numFmtId="3" fontId="13" fillId="12" borderId="2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13" borderId="24" xfId="0" applyFont="1" applyFill="1" applyBorder="1" applyAlignment="1">
      <alignment horizontal="center" vertical="center" wrapText="1"/>
    </xf>
    <xf numFmtId="3" fontId="15" fillId="13" borderId="24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10" fontId="16" fillId="0" borderId="32" xfId="0" applyNumberFormat="1" applyFont="1" applyBorder="1" applyAlignment="1">
      <alignment horizontal="center" vertical="center" wrapText="1"/>
    </xf>
    <xf numFmtId="10" fontId="1" fillId="11" borderId="23" xfId="2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10" fontId="6" fillId="0" borderId="0" xfId="0" applyNumberFormat="1" applyFont="1"/>
    <xf numFmtId="0" fontId="7" fillId="0" borderId="33" xfId="0" applyFont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10" fontId="7" fillId="0" borderId="32" xfId="0" applyNumberFormat="1" applyFont="1" applyBorder="1" applyAlignment="1">
      <alignment horizontal="justify" vertical="center" wrapText="1"/>
    </xf>
    <xf numFmtId="0" fontId="18" fillId="0" borderId="0" xfId="0" applyFont="1"/>
    <xf numFmtId="10" fontId="0" fillId="9" borderId="0" xfId="2" applyNumberFormat="1" applyFont="1" applyFill="1"/>
    <xf numFmtId="0" fontId="18" fillId="15" borderId="0" xfId="0" applyFont="1" applyFill="1" applyAlignment="1" applyProtection="1">
      <alignment horizontal="left" indent="7"/>
    </xf>
    <xf numFmtId="0" fontId="22" fillId="15" borderId="0" xfId="0" applyFont="1" applyFill="1" applyProtection="1"/>
    <xf numFmtId="0" fontId="23" fillId="15" borderId="0" xfId="0" applyFont="1" applyFill="1" applyAlignment="1" applyProtection="1">
      <alignment horizontal="left"/>
    </xf>
    <xf numFmtId="0" fontId="19" fillId="15" borderId="0" xfId="0" applyFont="1" applyFill="1" applyAlignment="1" applyProtection="1">
      <alignment horizontal="left"/>
    </xf>
    <xf numFmtId="0" fontId="19" fillId="15" borderId="0" xfId="0" applyFont="1" applyFill="1" applyProtection="1"/>
    <xf numFmtId="0" fontId="0" fillId="15" borderId="0" xfId="0" applyFill="1" applyProtection="1"/>
    <xf numFmtId="0" fontId="20" fillId="16" borderId="39" xfId="0" applyFont="1" applyFill="1" applyBorder="1" applyAlignment="1" applyProtection="1">
      <alignment horizontal="center" vertical="center" wrapText="1"/>
    </xf>
    <xf numFmtId="10" fontId="20" fillId="10" borderId="44" xfId="2" applyNumberFormat="1" applyFont="1" applyFill="1" applyBorder="1" applyAlignment="1" applyProtection="1">
      <alignment horizontal="center" vertical="center"/>
    </xf>
    <xf numFmtId="0" fontId="0" fillId="15" borderId="0" xfId="0" applyFill="1" applyAlignment="1" applyProtection="1">
      <alignment vertical="center"/>
    </xf>
    <xf numFmtId="0" fontId="14" fillId="15" borderId="0" xfId="0" applyFont="1" applyFill="1" applyProtection="1"/>
    <xf numFmtId="165" fontId="14" fillId="15" borderId="0" xfId="0" applyNumberFormat="1" applyFont="1" applyFill="1" applyProtection="1"/>
    <xf numFmtId="164" fontId="2" fillId="15" borderId="0" xfId="2" applyNumberFormat="1" applyFont="1" applyFill="1" applyProtection="1"/>
    <xf numFmtId="165" fontId="0" fillId="15" borderId="0" xfId="0" applyNumberFormat="1" applyFill="1" applyAlignment="1" applyProtection="1">
      <alignment horizontal="center"/>
    </xf>
    <xf numFmtId="0" fontId="0" fillId="15" borderId="0" xfId="0" applyFill="1" applyAlignment="1" applyProtection="1">
      <alignment horizontal="center"/>
    </xf>
    <xf numFmtId="165" fontId="26" fillId="16" borderId="39" xfId="1" applyNumberFormat="1" applyFont="1" applyFill="1" applyBorder="1" applyAlignment="1" applyProtection="1">
      <alignment horizontal="center" vertical="center"/>
    </xf>
    <xf numFmtId="10" fontId="28" fillId="11" borderId="39" xfId="2" applyNumberFormat="1" applyFont="1" applyFill="1" applyBorder="1" applyAlignment="1" applyProtection="1">
      <alignment horizontal="center" vertical="center" wrapText="1"/>
    </xf>
    <xf numFmtId="10" fontId="7" fillId="11" borderId="39" xfId="2" applyNumberFormat="1" applyFont="1" applyFill="1" applyBorder="1" applyAlignment="1" applyProtection="1">
      <alignment horizontal="center" vertical="center"/>
    </xf>
    <xf numFmtId="10" fontId="29" fillId="11" borderId="39" xfId="2" applyNumberFormat="1" applyFont="1" applyFill="1" applyBorder="1" applyAlignment="1" applyProtection="1">
      <alignment horizontal="center" vertical="center"/>
    </xf>
    <xf numFmtId="43" fontId="0" fillId="15" borderId="0" xfId="0" applyNumberFormat="1" applyFont="1" applyFill="1" applyProtection="1"/>
    <xf numFmtId="165" fontId="0" fillId="15" borderId="0" xfId="0" applyNumberFormat="1" applyFill="1" applyProtection="1"/>
    <xf numFmtId="0" fontId="3" fillId="2" borderId="0" xfId="0" applyFont="1" applyFill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Font="1" applyProtection="1"/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2" fillId="4" borderId="35" xfId="0" applyFont="1" applyFill="1" applyBorder="1" applyAlignment="1" applyProtection="1">
      <alignment horizontal="center" wrapText="1"/>
    </xf>
    <xf numFmtId="0" fontId="2" fillId="4" borderId="36" xfId="0" applyFont="1" applyFill="1" applyBorder="1" applyAlignment="1" applyProtection="1">
      <alignment horizontal="center" wrapText="1"/>
    </xf>
    <xf numFmtId="0" fontId="2" fillId="4" borderId="3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wrapText="1"/>
    </xf>
    <xf numFmtId="0" fontId="2" fillId="4" borderId="8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2" fillId="4" borderId="9" xfId="0" applyFont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15" borderId="0" xfId="0" applyFill="1" applyAlignment="1" applyProtection="1">
      <alignment wrapText="1"/>
    </xf>
    <xf numFmtId="165" fontId="0" fillId="0" borderId="8" xfId="1" applyNumberFormat="1" applyFont="1" applyBorder="1" applyProtection="1"/>
    <xf numFmtId="165" fontId="0" fillId="0" borderId="4" xfId="1" applyNumberFormat="1" applyFont="1" applyBorder="1" applyProtection="1"/>
    <xf numFmtId="165" fontId="2" fillId="0" borderId="4" xfId="1" applyNumberFormat="1" applyFont="1" applyBorder="1" applyProtection="1"/>
    <xf numFmtId="165" fontId="0" fillId="0" borderId="9" xfId="1" applyNumberFormat="1" applyFont="1" applyBorder="1" applyProtection="1"/>
    <xf numFmtId="165" fontId="0" fillId="0" borderId="14" xfId="1" applyNumberFormat="1" applyFont="1" applyBorder="1" applyProtection="1"/>
    <xf numFmtId="10" fontId="0" fillId="0" borderId="8" xfId="2" applyNumberFormat="1" applyFont="1" applyFill="1" applyBorder="1" applyProtection="1"/>
    <xf numFmtId="10" fontId="0" fillId="0" borderId="4" xfId="2" applyNumberFormat="1" applyFont="1" applyFill="1" applyBorder="1" applyProtection="1"/>
    <xf numFmtId="10" fontId="0" fillId="0" borderId="9" xfId="2" applyNumberFormat="1" applyFont="1" applyFill="1" applyBorder="1" applyProtection="1"/>
    <xf numFmtId="10" fontId="0" fillId="4" borderId="8" xfId="2" applyNumberFormat="1" applyFont="1" applyFill="1" applyBorder="1" applyProtection="1"/>
    <xf numFmtId="10" fontId="0" fillId="4" borderId="4" xfId="2" applyNumberFormat="1" applyFont="1" applyFill="1" applyBorder="1" applyProtection="1"/>
    <xf numFmtId="10" fontId="0" fillId="4" borderId="9" xfId="2" applyNumberFormat="1" applyFont="1" applyFill="1" applyBorder="1" applyProtection="1"/>
    <xf numFmtId="165" fontId="0" fillId="0" borderId="10" xfId="1" applyNumberFormat="1" applyFont="1" applyBorder="1" applyProtection="1"/>
    <xf numFmtId="165" fontId="0" fillId="0" borderId="11" xfId="1" applyNumberFormat="1" applyFont="1" applyBorder="1" applyProtection="1"/>
    <xf numFmtId="165" fontId="2" fillId="0" borderId="11" xfId="1" applyNumberFormat="1" applyFont="1" applyBorder="1" applyProtection="1"/>
    <xf numFmtId="165" fontId="0" fillId="0" borderId="12" xfId="1" applyNumberFormat="1" applyFont="1" applyBorder="1" applyProtection="1"/>
    <xf numFmtId="10" fontId="0" fillId="4" borderId="10" xfId="2" applyNumberFormat="1" applyFont="1" applyFill="1" applyBorder="1" applyProtection="1"/>
    <xf numFmtId="10" fontId="0" fillId="4" borderId="11" xfId="2" applyNumberFormat="1" applyFont="1" applyFill="1" applyBorder="1" applyProtection="1"/>
    <xf numFmtId="10" fontId="0" fillId="4" borderId="12" xfId="2" applyNumberFormat="1" applyFont="1" applyFill="1" applyBorder="1" applyProtection="1"/>
    <xf numFmtId="0" fontId="3" fillId="3" borderId="0" xfId="0" applyFont="1" applyFill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wrapText="1"/>
    </xf>
    <xf numFmtId="0" fontId="2" fillId="0" borderId="2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2" fillId="7" borderId="35" xfId="0" applyFont="1" applyFill="1" applyBorder="1" applyAlignment="1" applyProtection="1">
      <alignment horizontal="center" wrapText="1"/>
    </xf>
    <xf numFmtId="0" fontId="2" fillId="7" borderId="36" xfId="0" applyFont="1" applyFill="1" applyBorder="1" applyAlignment="1" applyProtection="1">
      <alignment horizontal="center" wrapText="1"/>
    </xf>
    <xf numFmtId="0" fontId="2" fillId="7" borderId="37" xfId="0" applyFont="1" applyFill="1" applyBorder="1" applyAlignment="1" applyProtection="1">
      <alignment horizontal="center" wrapText="1"/>
    </xf>
    <xf numFmtId="0" fontId="2" fillId="6" borderId="35" xfId="0" applyFont="1" applyFill="1" applyBorder="1" applyAlignment="1" applyProtection="1">
      <alignment horizontal="center" wrapText="1"/>
    </xf>
    <xf numFmtId="0" fontId="2" fillId="6" borderId="36" xfId="0" applyFont="1" applyFill="1" applyBorder="1" applyAlignment="1" applyProtection="1">
      <alignment horizontal="center" wrapText="1"/>
    </xf>
    <xf numFmtId="0" fontId="2" fillId="6" borderId="37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19" xfId="0" applyFont="1" applyBorder="1" applyAlignment="1" applyProtection="1">
      <alignment horizontal="center" wrapText="1"/>
    </xf>
    <xf numFmtId="0" fontId="2" fillId="7" borderId="8" xfId="0" applyFont="1" applyFill="1" applyBorder="1" applyAlignment="1" applyProtection="1">
      <alignment horizontal="center" wrapText="1"/>
    </xf>
    <xf numFmtId="0" fontId="2" fillId="7" borderId="4" xfId="0" applyFont="1" applyFill="1" applyBorder="1" applyAlignment="1" applyProtection="1">
      <alignment horizontal="center" wrapText="1"/>
    </xf>
    <xf numFmtId="0" fontId="2" fillId="7" borderId="9" xfId="0" applyFont="1" applyFill="1" applyBorder="1" applyAlignment="1" applyProtection="1">
      <alignment horizontal="center" wrapText="1"/>
    </xf>
    <xf numFmtId="0" fontId="2" fillId="6" borderId="8" xfId="0" applyFont="1" applyFill="1" applyBorder="1" applyAlignment="1" applyProtection="1">
      <alignment horizontal="center" wrapText="1"/>
    </xf>
    <xf numFmtId="0" fontId="2" fillId="6" borderId="4" xfId="0" applyFont="1" applyFill="1" applyBorder="1" applyAlignment="1" applyProtection="1">
      <alignment horizontal="center" wrapText="1"/>
    </xf>
    <xf numFmtId="0" fontId="2" fillId="6" borderId="9" xfId="0" applyFont="1" applyFill="1" applyBorder="1" applyAlignment="1" applyProtection="1">
      <alignment horizontal="center" wrapText="1"/>
    </xf>
    <xf numFmtId="165" fontId="0" fillId="0" borderId="17" xfId="1" applyNumberFormat="1" applyFont="1" applyBorder="1" applyProtection="1"/>
    <xf numFmtId="165" fontId="0" fillId="0" borderId="2" xfId="1" applyNumberFormat="1" applyFont="1" applyBorder="1" applyProtection="1"/>
    <xf numFmtId="164" fontId="0" fillId="0" borderId="8" xfId="2" applyNumberFormat="1" applyFont="1" applyFill="1" applyBorder="1" applyProtection="1"/>
    <xf numFmtId="164" fontId="0" fillId="0" borderId="4" xfId="2" applyNumberFormat="1" applyFont="1" applyFill="1" applyBorder="1" applyProtection="1"/>
    <xf numFmtId="164" fontId="0" fillId="0" borderId="9" xfId="2" applyNumberFormat="1" applyFont="1" applyFill="1" applyBorder="1" applyProtection="1"/>
    <xf numFmtId="164" fontId="1" fillId="0" borderId="8" xfId="2" applyNumberFormat="1" applyFont="1" applyFill="1" applyBorder="1" applyProtection="1"/>
    <xf numFmtId="164" fontId="1" fillId="0" borderId="4" xfId="2" applyNumberFormat="1" applyFont="1" applyFill="1" applyBorder="1" applyProtection="1"/>
    <xf numFmtId="164" fontId="1" fillId="0" borderId="9" xfId="2" applyNumberFormat="1" applyFont="1" applyFill="1" applyBorder="1" applyProtection="1"/>
    <xf numFmtId="164" fontId="0" fillId="8" borderId="8" xfId="2" applyNumberFormat="1" applyFont="1" applyFill="1" applyBorder="1" applyProtection="1"/>
    <xf numFmtId="164" fontId="0" fillId="8" borderId="4" xfId="2" applyNumberFormat="1" applyFont="1" applyFill="1" applyBorder="1" applyProtection="1"/>
    <xf numFmtId="164" fontId="0" fillId="8" borderId="9" xfId="2" applyNumberFormat="1" applyFont="1" applyFill="1" applyBorder="1" applyProtection="1"/>
    <xf numFmtId="164" fontId="1" fillId="5" borderId="8" xfId="2" applyNumberFormat="1" applyFont="1" applyFill="1" applyBorder="1" applyProtection="1"/>
    <xf numFmtId="164" fontId="1" fillId="5" borderId="4" xfId="2" applyNumberFormat="1" applyFont="1" applyFill="1" applyBorder="1" applyProtection="1"/>
    <xf numFmtId="164" fontId="1" fillId="5" borderId="9" xfId="2" applyNumberFormat="1" applyFont="1" applyFill="1" applyBorder="1" applyProtection="1"/>
    <xf numFmtId="164" fontId="1" fillId="8" borderId="8" xfId="2" applyNumberFormat="1" applyFont="1" applyFill="1" applyBorder="1" applyProtection="1"/>
    <xf numFmtId="164" fontId="1" fillId="8" borderId="4" xfId="2" applyNumberFormat="1" applyFont="1" applyFill="1" applyBorder="1" applyProtection="1"/>
    <xf numFmtId="164" fontId="1" fillId="8" borderId="9" xfId="2" applyNumberFormat="1" applyFont="1" applyFill="1" applyBorder="1" applyProtection="1"/>
    <xf numFmtId="165" fontId="0" fillId="0" borderId="18" xfId="1" applyNumberFormat="1" applyFont="1" applyBorder="1" applyProtection="1"/>
    <xf numFmtId="165" fontId="0" fillId="0" borderId="3" xfId="1" applyNumberFormat="1" applyFont="1" applyBorder="1" applyProtection="1"/>
    <xf numFmtId="165" fontId="0" fillId="0" borderId="15" xfId="1" applyNumberFormat="1" applyFont="1" applyBorder="1" applyProtection="1"/>
    <xf numFmtId="164" fontId="1" fillId="8" borderId="10" xfId="2" applyNumberFormat="1" applyFont="1" applyFill="1" applyBorder="1" applyProtection="1"/>
    <xf numFmtId="164" fontId="1" fillId="8" borderId="11" xfId="2" applyNumberFormat="1" applyFont="1" applyFill="1" applyBorder="1" applyProtection="1"/>
    <xf numFmtId="164" fontId="1" fillId="8" borderId="12" xfId="2" applyNumberFormat="1" applyFont="1" applyFill="1" applyBorder="1" applyProtection="1"/>
    <xf numFmtId="164" fontId="1" fillId="5" borderId="10" xfId="2" applyNumberFormat="1" applyFont="1" applyFill="1" applyBorder="1" applyProtection="1"/>
    <xf numFmtId="164" fontId="1" fillId="5" borderId="11" xfId="2" applyNumberFormat="1" applyFont="1" applyFill="1" applyBorder="1" applyProtection="1"/>
    <xf numFmtId="164" fontId="1" fillId="5" borderId="12" xfId="2" applyNumberFormat="1" applyFont="1" applyFill="1" applyBorder="1" applyProtection="1"/>
    <xf numFmtId="0" fontId="0" fillId="15" borderId="0" xfId="0" applyFont="1" applyFill="1" applyProtection="1"/>
    <xf numFmtId="164" fontId="24" fillId="11" borderId="45" xfId="2" applyNumberFormat="1" applyFont="1" applyFill="1" applyBorder="1" applyAlignment="1" applyProtection="1">
      <alignment horizontal="center" vertical="center"/>
      <protection locked="0"/>
    </xf>
    <xf numFmtId="164" fontId="24" fillId="11" borderId="46" xfId="2" applyNumberFormat="1" applyFont="1" applyFill="1" applyBorder="1" applyAlignment="1" applyProtection="1">
      <alignment horizontal="center" vertical="center"/>
      <protection locked="0"/>
    </xf>
    <xf numFmtId="10" fontId="24" fillId="11" borderId="47" xfId="0" applyNumberFormat="1" applyFont="1" applyFill="1" applyBorder="1" applyAlignment="1" applyProtection="1">
      <alignment horizontal="center" vertical="center"/>
      <protection locked="0"/>
    </xf>
    <xf numFmtId="0" fontId="26" fillId="16" borderId="41" xfId="0" applyFont="1" applyFill="1" applyBorder="1" applyAlignment="1" applyProtection="1">
      <alignment horizontal="center" vertical="center" wrapText="1"/>
    </xf>
    <xf numFmtId="0" fontId="31" fillId="15" borderId="0" xfId="0" applyFont="1" applyFill="1" applyProtection="1"/>
    <xf numFmtId="0" fontId="21" fillId="14" borderId="43" xfId="0" applyFont="1" applyFill="1" applyBorder="1" applyAlignment="1" applyProtection="1">
      <alignment horizontal="center" vertical="center"/>
      <protection locked="0"/>
    </xf>
    <xf numFmtId="0" fontId="20" fillId="16" borderId="39" xfId="0" applyFont="1" applyFill="1" applyBorder="1" applyAlignment="1" applyProtection="1">
      <alignment horizontal="center" vertical="top" wrapText="1"/>
    </xf>
    <xf numFmtId="4" fontId="0" fillId="15" borderId="0" xfId="2" applyNumberFormat="1" applyFont="1" applyFill="1" applyProtection="1"/>
    <xf numFmtId="0" fontId="27" fillId="16" borderId="41" xfId="0" applyFont="1" applyFill="1" applyBorder="1" applyAlignment="1" applyProtection="1">
      <alignment horizontal="center" vertical="center" wrapText="1"/>
    </xf>
    <xf numFmtId="0" fontId="30" fillId="15" borderId="0" xfId="0" applyFont="1" applyFill="1" applyAlignment="1" applyProtection="1">
      <alignment wrapText="1"/>
    </xf>
    <xf numFmtId="0" fontId="32" fillId="15" borderId="0" xfId="0" applyFont="1" applyFill="1" applyAlignment="1" applyProtection="1">
      <alignment horizontal="center" wrapText="1"/>
    </xf>
    <xf numFmtId="0" fontId="25" fillId="16" borderId="40" xfId="0" applyFont="1" applyFill="1" applyBorder="1" applyAlignment="1" applyProtection="1">
      <alignment horizontal="center"/>
    </xf>
    <xf numFmtId="0" fontId="25" fillId="16" borderId="42" xfId="0" applyFont="1" applyFill="1" applyBorder="1" applyAlignment="1" applyProtection="1">
      <alignment horizontal="center"/>
    </xf>
    <xf numFmtId="0" fontId="25" fillId="16" borderId="38" xfId="0" applyFont="1" applyFill="1" applyBorder="1" applyAlignment="1" applyProtection="1">
      <alignment horizontal="center"/>
    </xf>
    <xf numFmtId="0" fontId="20" fillId="16" borderId="39" xfId="0" applyFont="1" applyFill="1" applyBorder="1" applyAlignment="1" applyProtection="1">
      <alignment horizontal="center" vertical="center" wrapText="1"/>
    </xf>
    <xf numFmtId="43" fontId="20" fillId="16" borderId="39" xfId="0" applyNumberFormat="1" applyFont="1" applyFill="1" applyBorder="1" applyAlignment="1" applyProtection="1">
      <alignment horizontal="center" vertical="center" wrapText="1"/>
    </xf>
    <xf numFmtId="0" fontId="20" fillId="16" borderId="39" xfId="0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13" fillId="12" borderId="25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horizontal="center" vertical="center" wrapText="1"/>
    </xf>
    <xf numFmtId="0" fontId="13" fillId="13" borderId="26" xfId="0" applyFont="1" applyFill="1" applyBorder="1" applyAlignment="1">
      <alignment horizontal="center" vertical="center" wrapText="1"/>
    </xf>
    <xf numFmtId="0" fontId="15" fillId="13" borderId="24" xfId="0" applyFont="1" applyFill="1" applyBorder="1" applyAlignment="1">
      <alignment horizontal="center" vertical="center" wrapText="1"/>
    </xf>
    <xf numFmtId="0" fontId="15" fillId="13" borderId="26" xfId="0" applyFont="1" applyFill="1" applyBorder="1" applyAlignment="1">
      <alignment horizontal="center" vertical="center" wrapText="1"/>
    </xf>
    <xf numFmtId="0" fontId="15" fillId="13" borderId="27" xfId="0" applyFont="1" applyFill="1" applyBorder="1" applyAlignment="1">
      <alignment horizontal="center" vertical="center" wrapText="1"/>
    </xf>
    <xf numFmtId="0" fontId="15" fillId="13" borderId="28" xfId="0" applyFont="1" applyFill="1" applyBorder="1" applyAlignment="1">
      <alignment horizontal="center" vertical="center" wrapText="1"/>
    </xf>
    <xf numFmtId="0" fontId="15" fillId="13" borderId="29" xfId="0" applyFont="1" applyFill="1" applyBorder="1" applyAlignment="1">
      <alignment horizontal="center" vertical="center" wrapText="1"/>
    </xf>
    <xf numFmtId="0" fontId="15" fillId="13" borderId="30" xfId="0" applyFont="1" applyFill="1" applyBorder="1" applyAlignment="1">
      <alignment horizontal="center" vertical="center" wrapText="1"/>
    </xf>
    <xf numFmtId="0" fontId="15" fillId="13" borderId="31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colors>
    <mruColors>
      <color rgb="FF2C528E"/>
      <color rgb="FFE9B721"/>
      <color rgb="FF990033"/>
      <color rgb="FFE1E2E4"/>
      <color rgb="FFFFCCFF"/>
      <color rgb="FFFFFF99"/>
      <color rgb="FFCCFFFF"/>
      <color rgb="FFCCFF66"/>
      <color rgb="FF6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1368136</xdr:colOff>
      <xdr:row>6</xdr:row>
      <xdr:rowOff>138545</xdr:rowOff>
    </xdr:from>
    <xdr:to>
      <xdr:col>6</xdr:col>
      <xdr:colOff>630382</xdr:colOff>
      <xdr:row>9</xdr:row>
      <xdr:rowOff>114068</xdr:rowOff>
    </xdr:to>
    <xdr:pic>
      <xdr:nvPicPr>
        <xdr:cNvPr id="4" name="Imagem 3" descr="http://pixabay.com/static/uploads/photo/2013/07/12/17/11/pointing-151744_64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143750" y="1082386"/>
          <a:ext cx="632113" cy="624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614203</xdr:colOff>
      <xdr:row>0</xdr:row>
      <xdr:rowOff>112615</xdr:rowOff>
    </xdr:from>
    <xdr:to>
      <xdr:col>8</xdr:col>
      <xdr:colOff>128916</xdr:colOff>
      <xdr:row>6</xdr:row>
      <xdr:rowOff>155213</xdr:rowOff>
    </xdr:to>
    <xdr:sp macro="" textlink="">
      <xdr:nvSpPr>
        <xdr:cNvPr id="2" name="Texto explicativo em forma de nuvem 1"/>
        <xdr:cNvSpPr/>
      </xdr:nvSpPr>
      <xdr:spPr>
        <a:xfrm rot="202799">
          <a:off x="6605100" y="112615"/>
          <a:ext cx="1137247" cy="1251288"/>
        </a:xfrm>
        <a:prstGeom prst="cloudCallout">
          <a:avLst>
            <a:gd name="adj1" fmla="val -51496"/>
            <a:gd name="adj2" fmla="val 62568"/>
          </a:avLst>
        </a:prstGeom>
        <a:noFill/>
        <a:ln w="127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" tIns="18000" rIns="18000" bIns="18000" rtlCol="0" anchor="t"/>
        <a:lstStyle/>
        <a:p>
          <a:pPr algn="ctr"/>
          <a:r>
            <a:rPr lang="pt-BR" sz="900" b="1">
              <a:solidFill>
                <a:srgbClr val="002060"/>
              </a:solidFill>
            </a:rPr>
            <a:t>Selecionar as variáveis  </a:t>
          </a:r>
        </a:p>
        <a:p>
          <a:pPr algn="ctr"/>
          <a:r>
            <a:rPr lang="pt-BR" sz="900" b="1">
              <a:solidFill>
                <a:srgbClr val="002060"/>
              </a:solidFill>
            </a:rPr>
            <a:t>das</a:t>
          </a:r>
          <a:r>
            <a:rPr lang="pt-BR" sz="900" b="1" baseline="0">
              <a:solidFill>
                <a:srgbClr val="002060"/>
              </a:solidFill>
            </a:rPr>
            <a:t> células com fundo Branco</a:t>
          </a:r>
          <a:endParaRPr lang="pt-BR" sz="9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32846</xdr:colOff>
      <xdr:row>1</xdr:row>
      <xdr:rowOff>32844</xdr:rowOff>
    </xdr:from>
    <xdr:to>
      <xdr:col>2</xdr:col>
      <xdr:colOff>269327</xdr:colOff>
      <xdr:row>4</xdr:row>
      <xdr:rowOff>5315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60" y="223344"/>
          <a:ext cx="1195550" cy="741040"/>
        </a:xfrm>
        <a:prstGeom prst="rect">
          <a:avLst/>
        </a:prstGeom>
      </xdr:spPr>
    </xdr:pic>
    <xdr:clientData/>
  </xdr:twoCellAnchor>
  <xdr:oneCellAnchor>
    <xdr:from>
      <xdr:col>2</xdr:col>
      <xdr:colOff>375004</xdr:colOff>
      <xdr:row>1</xdr:row>
      <xdr:rowOff>65942</xdr:rowOff>
    </xdr:from>
    <xdr:ext cx="4049762" cy="702821"/>
    <xdr:sp macro="" textlink="">
      <xdr:nvSpPr>
        <xdr:cNvPr id="5" name="CaixaDeTexto 4"/>
        <xdr:cNvSpPr txBox="1"/>
      </xdr:nvSpPr>
      <xdr:spPr>
        <a:xfrm>
          <a:off x="2756254" y="256442"/>
          <a:ext cx="4049762" cy="702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400" b="1">
              <a:solidFill>
                <a:srgbClr val="2C528E"/>
              </a:solidFill>
            </a:rPr>
            <a:t>PLANEJAMENTO</a:t>
          </a:r>
          <a:r>
            <a:rPr lang="pt-BR" sz="1400" b="1" baseline="0">
              <a:solidFill>
                <a:srgbClr val="2C528E"/>
              </a:solidFill>
            </a:rPr>
            <a:t> TRIBUTÁRIO IBPT</a:t>
          </a:r>
        </a:p>
        <a:p>
          <a:pPr algn="ctr"/>
          <a:r>
            <a:rPr lang="pt-BR" sz="900" baseline="0">
              <a:solidFill>
                <a:srgbClr val="2C528E"/>
              </a:solidFill>
            </a:rPr>
            <a:t>Compare o quanto sua empresa paga de tributo nos diferentes regimes tributários</a:t>
          </a:r>
        </a:p>
        <a:p>
          <a:pPr algn="ctr"/>
          <a:r>
            <a:rPr lang="pt-BR" sz="900" baseline="0">
              <a:solidFill>
                <a:srgbClr val="2C528E"/>
              </a:solidFill>
            </a:rPr>
            <a:t>SIMPLES Nacional X Lucro Real X Lucro Presumido</a:t>
          </a:r>
        </a:p>
        <a:p>
          <a:pPr algn="ctr"/>
          <a:r>
            <a:rPr lang="pt-BR" sz="700" baseline="0">
              <a:solidFill>
                <a:srgbClr val="2C528E"/>
              </a:solidFill>
            </a:rPr>
            <a:t>(Já contempla as alterações sancionadas no dia 07/08/2014)</a:t>
          </a:r>
          <a:endParaRPr lang="pt-BR" sz="700">
            <a:solidFill>
              <a:srgbClr val="2C528E"/>
            </a:solidFill>
          </a:endParaRPr>
        </a:p>
      </xdr:txBody>
    </xdr:sp>
    <xdr:clientData/>
  </xdr:oneCellAnchor>
  <xdr:twoCellAnchor editAs="oneCell">
    <xdr:from>
      <xdr:col>6</xdr:col>
      <xdr:colOff>164228</xdr:colOff>
      <xdr:row>17</xdr:row>
      <xdr:rowOff>177959</xdr:rowOff>
    </xdr:from>
    <xdr:to>
      <xdr:col>6</xdr:col>
      <xdr:colOff>795446</xdr:colOff>
      <xdr:row>21</xdr:row>
      <xdr:rowOff>33724</xdr:rowOff>
    </xdr:to>
    <xdr:pic>
      <xdr:nvPicPr>
        <xdr:cNvPr id="6" name="Imagem 5" descr="http://pixabay.com/static/uploads/photo/2013/07/12/17/11/pointing-151744_64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155125" y="3790890"/>
          <a:ext cx="631218" cy="61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811415</xdr:colOff>
      <xdr:row>11</xdr:row>
      <xdr:rowOff>77150</xdr:rowOff>
    </xdr:from>
    <xdr:to>
      <xdr:col>9</xdr:col>
      <xdr:colOff>110349</xdr:colOff>
      <xdr:row>17</xdr:row>
      <xdr:rowOff>146024</xdr:rowOff>
    </xdr:to>
    <xdr:sp macro="" textlink="">
      <xdr:nvSpPr>
        <xdr:cNvPr id="7" name="Texto explicativo em forma de nuvem 6"/>
        <xdr:cNvSpPr/>
      </xdr:nvSpPr>
      <xdr:spPr>
        <a:xfrm rot="202799">
          <a:off x="6802312" y="2507667"/>
          <a:ext cx="1939658" cy="1251288"/>
        </a:xfrm>
        <a:prstGeom prst="cloudCallout">
          <a:avLst>
            <a:gd name="adj1" fmla="val -50922"/>
            <a:gd name="adj2" fmla="val 65255"/>
          </a:avLst>
        </a:prstGeom>
        <a:noFill/>
        <a:ln w="127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" tIns="18000" rIns="18000" bIns="18000" rtlCol="0" anchor="t"/>
        <a:lstStyle/>
        <a:p>
          <a:pPr algn="ctr"/>
          <a:r>
            <a:rPr lang="pt-BR" sz="900" b="1">
              <a:solidFill>
                <a:srgbClr val="002060"/>
              </a:solidFill>
            </a:rPr>
            <a:t>Legenda do gráfico térmico:</a:t>
          </a:r>
        </a:p>
        <a:p>
          <a:pPr algn="ctr"/>
          <a:r>
            <a:rPr lang="pt-BR" sz="900" b="1">
              <a:solidFill>
                <a:srgbClr val="00B050"/>
              </a:solidFill>
            </a:rPr>
            <a:t>Verde:</a:t>
          </a:r>
          <a:r>
            <a:rPr lang="pt-BR" sz="900" b="1" baseline="0">
              <a:solidFill>
                <a:srgbClr val="00B050"/>
              </a:solidFill>
            </a:rPr>
            <a:t> menor carga tributária</a:t>
          </a:r>
        </a:p>
        <a:p>
          <a:pPr algn="ctr"/>
          <a:r>
            <a:rPr lang="pt-BR" sz="900" b="1" baseline="0">
              <a:solidFill>
                <a:srgbClr val="E9B721"/>
              </a:solidFill>
            </a:rPr>
            <a:t>Amarelo: intermediária</a:t>
          </a:r>
        </a:p>
        <a:p>
          <a:pPr algn="ctr"/>
          <a:r>
            <a:rPr lang="pt-BR" sz="900" b="1" baseline="0">
              <a:solidFill>
                <a:srgbClr val="990033"/>
              </a:solidFill>
            </a:rPr>
            <a:t>Vermelho: Alta demais</a:t>
          </a:r>
          <a:endParaRPr lang="pt-BR" sz="900" b="1">
            <a:solidFill>
              <a:srgbClr val="990033"/>
            </a:solidFill>
          </a:endParaRPr>
        </a:p>
      </xdr:txBody>
    </xdr:sp>
    <xdr:clientData/>
  </xdr:twoCellAnchor>
  <xdr:twoCellAnchor editAs="oneCell">
    <xdr:from>
      <xdr:col>0</xdr:col>
      <xdr:colOff>771854</xdr:colOff>
      <xdr:row>6</xdr:row>
      <xdr:rowOff>359799</xdr:rowOff>
    </xdr:from>
    <xdr:to>
      <xdr:col>0</xdr:col>
      <xdr:colOff>1403072</xdr:colOff>
      <xdr:row>10</xdr:row>
      <xdr:rowOff>144822</xdr:rowOff>
    </xdr:to>
    <xdr:pic>
      <xdr:nvPicPr>
        <xdr:cNvPr id="8" name="Imagem 7" descr="http://pixabay.com/static/uploads/photo/2013/07/12/17/11/pointing-151744_64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854" y="1568489"/>
          <a:ext cx="631218" cy="61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139548</xdr:colOff>
      <xdr:row>3</xdr:row>
      <xdr:rowOff>148058</xdr:rowOff>
    </xdr:from>
    <xdr:to>
      <xdr:col>0</xdr:col>
      <xdr:colOff>1346789</xdr:colOff>
      <xdr:row>6</xdr:row>
      <xdr:rowOff>194881</xdr:rowOff>
    </xdr:to>
    <xdr:sp macro="" textlink="">
      <xdr:nvSpPr>
        <xdr:cNvPr id="9" name="Texto explicativo em forma de nuvem 8"/>
        <xdr:cNvSpPr/>
      </xdr:nvSpPr>
      <xdr:spPr>
        <a:xfrm rot="202799">
          <a:off x="139548" y="765541"/>
          <a:ext cx="1207241" cy="638030"/>
        </a:xfrm>
        <a:prstGeom prst="cloudCallout">
          <a:avLst>
            <a:gd name="adj1" fmla="val 10975"/>
            <a:gd name="adj2" fmla="val 90653"/>
          </a:avLst>
        </a:prstGeom>
        <a:noFill/>
        <a:ln w="127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" tIns="18000" rIns="18000" bIns="18000" rtlCol="0" anchor="t"/>
        <a:lstStyle/>
        <a:p>
          <a:pPr algn="ctr"/>
          <a:r>
            <a:rPr lang="pt-BR" sz="900" b="1">
              <a:solidFill>
                <a:srgbClr val="002060"/>
              </a:solidFill>
            </a:rPr>
            <a:t>Selecione</a:t>
          </a:r>
          <a:r>
            <a:rPr lang="pt-BR" sz="900" b="1" baseline="0">
              <a:solidFill>
                <a:srgbClr val="002060"/>
              </a:solidFill>
            </a:rPr>
            <a:t> o anexo</a:t>
          </a:r>
          <a:endParaRPr lang="pt-BR" sz="9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showRowColHeaders="0" tabSelected="1" zoomScale="130" zoomScaleNormal="130" workbookViewId="0">
      <pane ySplit="8" topLeftCell="A9" activePane="bottomLeft" state="frozen"/>
      <selection pane="bottomLeft" activeCell="E8" sqref="E8"/>
    </sheetView>
  </sheetViews>
  <sheetFormatPr defaultRowHeight="15"/>
  <cols>
    <col min="1" max="1" width="21.28515625" style="43" customWidth="1"/>
    <col min="2" max="2" width="14.42578125" style="43" customWidth="1"/>
    <col min="3" max="3" width="16.5703125" style="148" customWidth="1"/>
    <col min="4" max="4" width="16.5703125" style="43" customWidth="1"/>
    <col min="5" max="5" width="17.28515625" style="43" customWidth="1"/>
    <col min="6" max="6" width="16" style="43" customWidth="1"/>
    <col min="7" max="7" width="13.28515625" style="43" customWidth="1"/>
    <col min="8" max="8" width="11" style="43" customWidth="1"/>
    <col min="9" max="9" width="15.28515625" style="43" bestFit="1" customWidth="1"/>
    <col min="10" max="10" width="11.5703125" style="43" customWidth="1"/>
    <col min="11" max="12" width="10.42578125" style="43" customWidth="1"/>
    <col min="13" max="15" width="10.5703125" style="43" customWidth="1"/>
    <col min="16" max="20" width="9.140625" style="43" customWidth="1"/>
    <col min="21" max="16384" width="9.140625" style="43"/>
  </cols>
  <sheetData>
    <row r="1" spans="1:13" ht="5.25" customHeight="1"/>
    <row r="2" spans="1:13" s="39" customFormat="1" ht="31.5" customHeight="1">
      <c r="B2" s="38"/>
    </row>
    <row r="3" spans="1:13" s="39" customFormat="1" ht="2.25" customHeight="1"/>
    <row r="4" spans="1:13" s="39" customFormat="1" ht="27" customHeight="1">
      <c r="B4" s="40"/>
      <c r="C4" s="41"/>
      <c r="D4" s="159"/>
      <c r="E4" s="159"/>
      <c r="F4" s="159"/>
    </row>
    <row r="5" spans="1:13" s="39" customFormat="1" ht="4.5" customHeight="1">
      <c r="B5" s="42"/>
      <c r="C5" s="41"/>
      <c r="D5" s="42"/>
      <c r="E5" s="42"/>
      <c r="F5" s="42"/>
    </row>
    <row r="6" spans="1:13">
      <c r="B6" s="163" t="s">
        <v>39</v>
      </c>
      <c r="C6" s="165" t="s">
        <v>29</v>
      </c>
      <c r="D6" s="165"/>
      <c r="E6" s="163" t="s">
        <v>179</v>
      </c>
      <c r="F6" s="164" t="s">
        <v>28</v>
      </c>
    </row>
    <row r="7" spans="1:13" ht="28.5" customHeight="1">
      <c r="B7" s="163"/>
      <c r="C7" s="155" t="s">
        <v>182</v>
      </c>
      <c r="D7" s="44" t="s">
        <v>178</v>
      </c>
      <c r="E7" s="163"/>
      <c r="F7" s="164"/>
    </row>
    <row r="8" spans="1:13" s="46" customFormat="1" ht="18">
      <c r="B8" s="154" t="s">
        <v>36</v>
      </c>
      <c r="C8" s="149">
        <v>0.25</v>
      </c>
      <c r="D8" s="150">
        <v>0.25</v>
      </c>
      <c r="E8" s="151">
        <v>0.05</v>
      </c>
      <c r="F8" s="45">
        <f>100%-MOD-ISS-DespAdm</f>
        <v>0.44999999999999996</v>
      </c>
    </row>
    <row r="9" spans="1:13" ht="3.75" customHeight="1">
      <c r="B9" s="47" t="s">
        <v>1</v>
      </c>
      <c r="C9" s="47"/>
      <c r="D9" s="48"/>
      <c r="E9" s="47"/>
      <c r="F9" s="47"/>
      <c r="J9" s="49"/>
    </row>
    <row r="10" spans="1:13">
      <c r="B10" s="160" t="s">
        <v>187</v>
      </c>
      <c r="C10" s="161"/>
      <c r="D10" s="161"/>
      <c r="E10" s="161"/>
      <c r="F10" s="162"/>
      <c r="J10" s="49"/>
    </row>
    <row r="11" spans="1:13" s="51" customFormat="1" ht="27.75" customHeight="1">
      <c r="B11" s="152" t="s">
        <v>177</v>
      </c>
      <c r="C11" s="157" t="str">
        <f>(IF(B8="Anexo IV","SIMPLES + com INSS Patronal à parte","SIMPLES"))</f>
        <v>SIMPLES + com INSS Patronal à parte</v>
      </c>
      <c r="D11" s="152" t="str">
        <f>CONCATENATE("Lucro Real (ISS - ",ISS*100,"%¹)")</f>
        <v>Lucro Real (ISS - 5%¹)</v>
      </c>
      <c r="E11" s="152" t="s">
        <v>183</v>
      </c>
      <c r="F11" s="152" t="s">
        <v>184</v>
      </c>
      <c r="G11" s="50"/>
      <c r="J11" s="49"/>
      <c r="K11" s="43"/>
      <c r="L11" s="43"/>
      <c r="M11" s="43"/>
    </row>
    <row r="12" spans="1:13">
      <c r="A12" s="156"/>
      <c r="B12" s="52">
        <v>180000</v>
      </c>
      <c r="C12" s="53">
        <f>Tabelas!Q7+(IF($B$8&lt;&gt;"Anexo IV",0,((((B12*MOD))*0.24)/B12)))</f>
        <v>0.105</v>
      </c>
      <c r="D12" s="54">
        <f t="shared" ref="D12:D31" si="0">IF(ISS=0,L40,IF(ISS=0.02,M40,IF(ISS=0.03,N40,IF(ISS=0.04,O40,IF(ISS=0.05,P40," ")))))</f>
        <v>0.18573999999999999</v>
      </c>
      <c r="E12" s="55">
        <f t="shared" ref="E12:E31" si="1">IF(ISS=0,H65,IF(ISS=0.02,I65,IF(ISS=0.03,J65,IF(ISS=0.04,K65,IF(ISS=0.05,L65," ")))))</f>
        <v>0.13930000000000001</v>
      </c>
      <c r="F12" s="55">
        <f t="shared" ref="F12:F31" si="2">IF(ISS=0,M65,IF(ISS=0.02,N65,IF(ISS=0.03,O65,IF(ISS=0.04,P65,IF(ISS=0.05,Q65," ")))))</f>
        <v>0.1633</v>
      </c>
      <c r="G12" s="50"/>
      <c r="I12" s="51"/>
      <c r="J12" s="49"/>
    </row>
    <row r="13" spans="1:13">
      <c r="A13" s="156"/>
      <c r="B13" s="52">
        <v>360000</v>
      </c>
      <c r="C13" s="53">
        <f>Tabelas!Q8+(IF($B$8&lt;&gt;"Anexo IV",0,((((B13*MOD))*0.24)/B13)))</f>
        <v>0.12540000000000001</v>
      </c>
      <c r="D13" s="54">
        <f t="shared" si="0"/>
        <v>0.18573999999999999</v>
      </c>
      <c r="E13" s="55">
        <f t="shared" si="1"/>
        <v>0.13930000000000001</v>
      </c>
      <c r="F13" s="55">
        <f>IF(ISS=0,M66,IF(ISS=0.02,N66,IF(ISS=0.03,O66,IF(ISS=0.04,P66,IF(ISS=0.05,Q66," ")))))</f>
        <v>0.1633</v>
      </c>
      <c r="G13" s="50"/>
      <c r="I13" s="51"/>
      <c r="J13" s="49"/>
    </row>
    <row r="14" spans="1:13">
      <c r="A14" s="156"/>
      <c r="B14" s="52">
        <v>540000</v>
      </c>
      <c r="C14" s="53">
        <f>Tabelas!Q9+(IF($B$8&lt;&gt;"Anexo IV",0,((((B14*MOD))*0.24)/B14)))</f>
        <v>0.13700000000000001</v>
      </c>
      <c r="D14" s="54">
        <f t="shared" si="0"/>
        <v>0.18574000000000002</v>
      </c>
      <c r="E14" s="55">
        <f t="shared" si="1"/>
        <v>0.13930000000000001</v>
      </c>
      <c r="F14" s="55">
        <f t="shared" si="2"/>
        <v>0.1633</v>
      </c>
      <c r="G14" s="50"/>
      <c r="I14" s="51"/>
      <c r="J14" s="49"/>
    </row>
    <row r="15" spans="1:13">
      <c r="B15" s="52">
        <v>720000</v>
      </c>
      <c r="C15" s="53">
        <f>Tabelas!Q10+(IF($B$8&lt;&gt;"Anexo IV",0,((((B15*MOD))*0.24)/B15)))</f>
        <v>0.1449</v>
      </c>
      <c r="D15" s="54">
        <f t="shared" si="0"/>
        <v>0.19375666666666666</v>
      </c>
      <c r="E15" s="55">
        <f t="shared" si="1"/>
        <v>0.13930000000000001</v>
      </c>
      <c r="F15" s="55">
        <f t="shared" si="2"/>
        <v>0.1633</v>
      </c>
      <c r="G15" s="50"/>
      <c r="I15" s="51"/>
      <c r="J15" s="49"/>
    </row>
    <row r="16" spans="1:13">
      <c r="A16" s="156"/>
      <c r="B16" s="52">
        <v>900000</v>
      </c>
      <c r="C16" s="53">
        <f>Tabelas!Q11+(IF($B$8&lt;&gt;"Anexo IV",0,((((B16*MOD))*0.24)/B16)))</f>
        <v>0.1497</v>
      </c>
      <c r="D16" s="54">
        <f t="shared" si="0"/>
        <v>0.20042333333333334</v>
      </c>
      <c r="E16" s="55">
        <f t="shared" si="1"/>
        <v>0.13930000000000001</v>
      </c>
      <c r="F16" s="55">
        <f t="shared" si="2"/>
        <v>0.16863333333333333</v>
      </c>
      <c r="G16" s="50"/>
      <c r="I16" s="51"/>
      <c r="J16" s="49"/>
    </row>
    <row r="17" spans="1:12">
      <c r="A17" s="156"/>
      <c r="B17" s="52">
        <v>1080000</v>
      </c>
      <c r="C17" s="53">
        <f>Tabelas!Q12+(IF($B$8&lt;&gt;"Anexo IV",0,((((B17*MOD))*0.24)/B17)))</f>
        <v>0.1578</v>
      </c>
      <c r="D17" s="54">
        <f t="shared" si="0"/>
        <v>0.20486777777777779</v>
      </c>
      <c r="E17" s="55">
        <f t="shared" si="1"/>
        <v>0.13930000000000001</v>
      </c>
      <c r="F17" s="55">
        <f t="shared" si="2"/>
        <v>0.17307777777777777</v>
      </c>
      <c r="G17" s="50"/>
      <c r="I17" s="51"/>
      <c r="J17" s="49"/>
    </row>
    <row r="18" spans="1:12">
      <c r="A18" s="156"/>
      <c r="B18" s="52">
        <v>1260000</v>
      </c>
      <c r="C18" s="53">
        <f>Tabelas!Q13+(IF($B$8&lt;&gt;"Anexo IV",0,((((B18*MOD))*0.24)/B18)))</f>
        <v>0.16259999999999999</v>
      </c>
      <c r="D18" s="54">
        <f t="shared" si="0"/>
        <v>0.20804238095238095</v>
      </c>
      <c r="E18" s="55">
        <f t="shared" si="1"/>
        <v>0.13930000000000001</v>
      </c>
      <c r="F18" s="55">
        <f t="shared" si="2"/>
        <v>0.17625238095238097</v>
      </c>
      <c r="G18" s="50"/>
      <c r="I18" s="51"/>
      <c r="J18" s="49"/>
    </row>
    <row r="19" spans="1:12">
      <c r="A19" s="156"/>
      <c r="B19" s="52">
        <v>1440000</v>
      </c>
      <c r="C19" s="53">
        <f>Tabelas!Q14+(IF($B$8&lt;&gt;"Anexo IV",0,((((B19*MOD))*0.24)/B19)))</f>
        <v>0.1676</v>
      </c>
      <c r="D19" s="54">
        <f t="shared" si="0"/>
        <v>0.21042333333333332</v>
      </c>
      <c r="E19" s="55">
        <f t="shared" si="1"/>
        <v>0.13930000000000001</v>
      </c>
      <c r="F19" s="55">
        <f t="shared" si="2"/>
        <v>0.17863333333333334</v>
      </c>
      <c r="G19" s="50"/>
      <c r="I19" s="51"/>
      <c r="J19" s="49"/>
      <c r="K19" s="49"/>
      <c r="L19" s="49"/>
    </row>
    <row r="20" spans="1:12">
      <c r="A20" s="156"/>
      <c r="B20" s="52">
        <v>1620000</v>
      </c>
      <c r="C20" s="53">
        <f>Tabelas!Q15+(IF($B$8&lt;&gt;"Anexo IV",0,((((B20*MOD))*0.24)/B20)))</f>
        <v>0.17509999999999998</v>
      </c>
      <c r="D20" s="54">
        <f t="shared" si="0"/>
        <v>0.21227518518518518</v>
      </c>
      <c r="E20" s="55">
        <f t="shared" si="1"/>
        <v>0.14048518518518519</v>
      </c>
      <c r="F20" s="55">
        <f t="shared" si="2"/>
        <v>0.18048518518518519</v>
      </c>
      <c r="G20" s="50"/>
      <c r="I20" s="51"/>
      <c r="J20" s="49"/>
    </row>
    <row r="21" spans="1:12">
      <c r="A21" s="156"/>
      <c r="B21" s="52">
        <v>1800000</v>
      </c>
      <c r="C21" s="53">
        <f>Tabelas!Q16+(IF($B$8&lt;&gt;"Anexo IV",0,((((B21*MOD))*0.24)/B21)))</f>
        <v>0.18</v>
      </c>
      <c r="D21" s="54">
        <f t="shared" si="0"/>
        <v>0.21375666666666668</v>
      </c>
      <c r="E21" s="55">
        <f t="shared" si="1"/>
        <v>0.14196666666666666</v>
      </c>
      <c r="F21" s="55">
        <f t="shared" si="2"/>
        <v>0.18196666666666667</v>
      </c>
      <c r="G21" s="50"/>
      <c r="I21" s="51"/>
      <c r="J21" s="49"/>
    </row>
    <row r="22" spans="1:12">
      <c r="A22" s="156"/>
      <c r="B22" s="52">
        <v>1980000</v>
      </c>
      <c r="C22" s="53">
        <f>Tabelas!Q17+(IF($B$8&lt;&gt;"Anexo IV",0,((((B22*MOD))*0.24)/B22)))</f>
        <v>0.188</v>
      </c>
      <c r="D22" s="54">
        <f t="shared" si="0"/>
        <v>0.2149687878787879</v>
      </c>
      <c r="E22" s="55">
        <f t="shared" si="1"/>
        <v>0.14317878787878788</v>
      </c>
      <c r="F22" s="55">
        <f t="shared" si="2"/>
        <v>0.18317878787878789</v>
      </c>
      <c r="G22" s="50"/>
      <c r="I22" s="51"/>
      <c r="J22" s="49"/>
    </row>
    <row r="23" spans="1:12">
      <c r="A23" s="156"/>
      <c r="B23" s="52">
        <v>2160000</v>
      </c>
      <c r="C23" s="53">
        <f>Tabelas!Q18+(IF($B$8&lt;&gt;"Anexo IV",0,((((B23*MOD))*0.24)/B23)))</f>
        <v>0.1925</v>
      </c>
      <c r="D23" s="54">
        <f t="shared" si="0"/>
        <v>0.21597888888888889</v>
      </c>
      <c r="E23" s="55">
        <f t="shared" si="1"/>
        <v>0.14418888888888889</v>
      </c>
      <c r="F23" s="55">
        <f t="shared" si="2"/>
        <v>0.1841888888888889</v>
      </c>
      <c r="G23" s="50"/>
      <c r="I23" s="51"/>
      <c r="J23" s="49"/>
    </row>
    <row r="24" spans="1:12">
      <c r="A24" s="156"/>
      <c r="B24" s="52">
        <v>2340000</v>
      </c>
      <c r="C24" s="53">
        <f>Tabelas!Q19+(IF($B$8&lt;&gt;"Anexo IV",0,((((B24*MOD))*0.24)/B24)))</f>
        <v>0.19700000000000001</v>
      </c>
      <c r="D24" s="54">
        <f t="shared" si="0"/>
        <v>0.21683358974358974</v>
      </c>
      <c r="E24" s="55">
        <f t="shared" si="1"/>
        <v>0.14504358974358975</v>
      </c>
      <c r="F24" s="55">
        <f t="shared" si="2"/>
        <v>0.18504358974358975</v>
      </c>
      <c r="G24" s="50"/>
      <c r="I24" s="51"/>
      <c r="J24" s="49"/>
    </row>
    <row r="25" spans="1:12">
      <c r="A25" s="156"/>
      <c r="B25" s="52">
        <v>2520000</v>
      </c>
      <c r="C25" s="53">
        <f>Tabelas!Q20+(IF($B$8&lt;&gt;"Anexo IV",0,((((B25*MOD))*0.24)/B25)))</f>
        <v>0.20149999999999998</v>
      </c>
      <c r="D25" s="54">
        <f t="shared" si="0"/>
        <v>0.2175661904761905</v>
      </c>
      <c r="E25" s="55">
        <f t="shared" si="1"/>
        <v>0.14577619047619048</v>
      </c>
      <c r="F25" s="55">
        <f t="shared" si="2"/>
        <v>0.18577619047619048</v>
      </c>
      <c r="G25" s="50"/>
      <c r="I25" s="51"/>
      <c r="J25" s="49"/>
    </row>
    <row r="26" spans="1:12">
      <c r="A26" s="156"/>
      <c r="B26" s="52">
        <v>2700000</v>
      </c>
      <c r="C26" s="53">
        <f>Tabelas!Q21+(IF($B$8&lt;&gt;"Anexo IV",0,((((B26*MOD))*0.24)/B26)))</f>
        <v>0.20599999999999999</v>
      </c>
      <c r="D26" s="54">
        <f t="shared" si="0"/>
        <v>0.21820111111111112</v>
      </c>
      <c r="E26" s="55">
        <f t="shared" si="1"/>
        <v>0.1464111111111111</v>
      </c>
      <c r="F26" s="55">
        <f t="shared" si="2"/>
        <v>0.18641111111111111</v>
      </c>
      <c r="G26" s="50"/>
      <c r="I26" s="51"/>
      <c r="J26" s="49"/>
    </row>
    <row r="27" spans="1:12">
      <c r="A27" s="156"/>
      <c r="B27" s="52">
        <v>2880000</v>
      </c>
      <c r="C27" s="53">
        <f>Tabelas!Q22+(IF($B$8&lt;&gt;"Anexo IV",0,((((B27*MOD))*0.24)/B27)))</f>
        <v>0.21049999999999999</v>
      </c>
      <c r="D27" s="54">
        <f t="shared" si="0"/>
        <v>0.21875666666666665</v>
      </c>
      <c r="E27" s="55">
        <f t="shared" si="1"/>
        <v>0.14696666666666666</v>
      </c>
      <c r="F27" s="55">
        <f t="shared" si="2"/>
        <v>0.18696666666666667</v>
      </c>
      <c r="G27" s="50"/>
      <c r="I27" s="51"/>
      <c r="J27" s="49"/>
    </row>
    <row r="28" spans="1:12">
      <c r="A28" s="156"/>
      <c r="B28" s="52">
        <v>3060000</v>
      </c>
      <c r="C28" s="53">
        <f>Tabelas!Q23+(IF($B$8&lt;&gt;"Anexo IV",0,((((B28*MOD))*0.24)/B28)))</f>
        <v>0.215</v>
      </c>
      <c r="D28" s="54">
        <f t="shared" si="0"/>
        <v>0.21924686274509805</v>
      </c>
      <c r="E28" s="55">
        <f t="shared" si="1"/>
        <v>0.14745686274509803</v>
      </c>
      <c r="F28" s="55">
        <f t="shared" si="2"/>
        <v>0.18745686274509804</v>
      </c>
      <c r="G28" s="50"/>
      <c r="I28" s="51"/>
      <c r="J28" s="49"/>
    </row>
    <row r="29" spans="1:12">
      <c r="A29" s="156"/>
      <c r="B29" s="52">
        <v>3240000</v>
      </c>
      <c r="C29" s="53">
        <f>Tabelas!Q24+(IF($B$8&lt;&gt;"Anexo IV",0,((((B29*MOD))*0.24)/B29)))</f>
        <v>0.2195</v>
      </c>
      <c r="D29" s="54">
        <f t="shared" si="0"/>
        <v>0.2196825925925926</v>
      </c>
      <c r="E29" s="55">
        <f t="shared" si="1"/>
        <v>0.1478925925925926</v>
      </c>
      <c r="F29" s="55">
        <f t="shared" si="2"/>
        <v>0.18789259259259258</v>
      </c>
      <c r="G29" s="50"/>
      <c r="I29" s="51"/>
      <c r="J29" s="49"/>
    </row>
    <row r="30" spans="1:12">
      <c r="A30" s="156"/>
      <c r="B30" s="52">
        <v>3420000</v>
      </c>
      <c r="C30" s="53">
        <f>Tabelas!Q25+(IF($B$8&lt;&gt;"Anexo IV",0,((((B30*MOD))*0.24)/B30)))</f>
        <v>0.224</v>
      </c>
      <c r="D30" s="54">
        <f t="shared" si="0"/>
        <v>0.22007245614035087</v>
      </c>
      <c r="E30" s="55">
        <f t="shared" si="1"/>
        <v>0.14828245614035088</v>
      </c>
      <c r="F30" s="55">
        <f t="shared" si="2"/>
        <v>0.18828245614035088</v>
      </c>
      <c r="G30" s="50"/>
      <c r="I30" s="51"/>
      <c r="J30" s="49"/>
    </row>
    <row r="31" spans="1:12">
      <c r="A31" s="156"/>
      <c r="B31" s="52">
        <v>3600000</v>
      </c>
      <c r="C31" s="53">
        <f>Tabelas!Q26+(IF($B$8&lt;&gt;"Anexo IV",0,((((B31*MOD))*0.24)/B31)))</f>
        <v>0.22850000000000001</v>
      </c>
      <c r="D31" s="54">
        <f t="shared" si="0"/>
        <v>0.22042333333333333</v>
      </c>
      <c r="E31" s="55">
        <f t="shared" si="1"/>
        <v>0.14863333333333334</v>
      </c>
      <c r="F31" s="55">
        <f t="shared" si="2"/>
        <v>0.18863333333333332</v>
      </c>
      <c r="G31" s="50"/>
      <c r="I31" s="51"/>
      <c r="J31" s="49"/>
    </row>
    <row r="32" spans="1:12">
      <c r="B32" s="153" t="s">
        <v>189</v>
      </c>
      <c r="C32" s="56"/>
      <c r="D32" s="57"/>
      <c r="E32" s="57"/>
      <c r="F32" s="57"/>
      <c r="G32" s="57"/>
      <c r="H32" s="57"/>
      <c r="I32" s="57"/>
      <c r="J32" s="49"/>
    </row>
    <row r="33" spans="2:17" hidden="1">
      <c r="C33" s="56"/>
      <c r="D33" s="57"/>
      <c r="E33" s="57"/>
      <c r="F33" s="57"/>
      <c r="G33" s="57"/>
      <c r="H33" s="57"/>
      <c r="I33" s="57"/>
    </row>
    <row r="34" spans="2:17" hidden="1">
      <c r="B34" s="43" t="s">
        <v>1</v>
      </c>
      <c r="C34" s="56"/>
      <c r="D34" s="57"/>
      <c r="F34" s="57"/>
      <c r="G34" s="57"/>
      <c r="H34" s="57"/>
      <c r="I34" s="57"/>
      <c r="J34" s="49"/>
    </row>
    <row r="35" spans="2:17" hidden="1"/>
    <row r="36" spans="2:17" ht="23.25" hidden="1">
      <c r="B36" s="58" t="s">
        <v>7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/>
    </row>
    <row r="37" spans="2:17" ht="15.75" hidden="1" thickBot="1">
      <c r="B37" s="60" t="s">
        <v>26</v>
      </c>
      <c r="C37" s="61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2:17" ht="15" hidden="1" customHeight="1">
      <c r="B38" s="62" t="s">
        <v>3</v>
      </c>
      <c r="C38" s="63" t="s">
        <v>10</v>
      </c>
      <c r="D38" s="64"/>
      <c r="E38" s="65" t="s">
        <v>4</v>
      </c>
      <c r="F38" s="66" t="s">
        <v>11</v>
      </c>
      <c r="G38" s="66"/>
      <c r="H38" s="65" t="s">
        <v>8</v>
      </c>
      <c r="I38" s="66" t="s">
        <v>9</v>
      </c>
      <c r="J38" s="67" t="s">
        <v>5</v>
      </c>
      <c r="K38" s="68" t="s">
        <v>16</v>
      </c>
      <c r="L38" s="69" t="s">
        <v>17</v>
      </c>
      <c r="M38" s="70"/>
      <c r="N38" s="70"/>
      <c r="O38" s="70"/>
      <c r="P38" s="71"/>
      <c r="Q38" s="59"/>
    </row>
    <row r="39" spans="2:17" s="81" customFormat="1" ht="45" hidden="1">
      <c r="B39" s="72"/>
      <c r="C39" s="73" t="s">
        <v>0</v>
      </c>
      <c r="D39" s="73" t="s">
        <v>27</v>
      </c>
      <c r="E39" s="73"/>
      <c r="F39" s="73" t="s">
        <v>2</v>
      </c>
      <c r="G39" s="73" t="s">
        <v>6</v>
      </c>
      <c r="H39" s="73"/>
      <c r="I39" s="74"/>
      <c r="J39" s="75"/>
      <c r="K39" s="76"/>
      <c r="L39" s="77" t="s">
        <v>175</v>
      </c>
      <c r="M39" s="77" t="s">
        <v>12</v>
      </c>
      <c r="N39" s="78" t="s">
        <v>13</v>
      </c>
      <c r="O39" s="78" t="s">
        <v>15</v>
      </c>
      <c r="P39" s="79" t="s">
        <v>14</v>
      </c>
      <c r="Q39" s="80"/>
    </row>
    <row r="40" spans="2:17" hidden="1">
      <c r="B40" s="82">
        <v>180000</v>
      </c>
      <c r="C40" s="83">
        <f t="shared" ref="C40:C59" si="3">B40*ISS</f>
        <v>9000</v>
      </c>
      <c r="D40" s="83">
        <f t="shared" ref="D40:D59" si="4">B40*0.0365</f>
        <v>6570</v>
      </c>
      <c r="E40" s="83">
        <f t="shared" ref="E40:E59" si="5">B40-C40-D40</f>
        <v>164430</v>
      </c>
      <c r="F40" s="83">
        <f t="shared" ref="F40:F59" si="6">B40*MOD</f>
        <v>45000</v>
      </c>
      <c r="G40" s="83">
        <f t="shared" ref="G40:G59" si="7">B40*DespAdm</f>
        <v>45000</v>
      </c>
      <c r="H40" s="84">
        <f>E40-F40-G40</f>
        <v>74430</v>
      </c>
      <c r="I40" s="83">
        <f>IF(H40&lt;240000,(H40*0.15)+(H40*0.09),(H40*0.15)+(H40*0.09)+((H40-240000)*0.1))</f>
        <v>17863.2</v>
      </c>
      <c r="J40" s="85">
        <f>H40-I40</f>
        <v>56566.8</v>
      </c>
      <c r="K40" s="86">
        <f t="shared" ref="K40:K59" si="8">IF($B$8="Anexo IV",0,$B40*MOD/1.615*0.24)</f>
        <v>0</v>
      </c>
      <c r="L40" s="87">
        <f>($K40+$I40+$D40+($B40*RIGHT(L$39,2)))/$B40</f>
        <v>0.13574</v>
      </c>
      <c r="M40" s="87">
        <f t="shared" ref="L40:P59" si="9">($K40+$I40+$D40+($B40*RIGHT(M$39,2)))/$B40</f>
        <v>0.15574000000000002</v>
      </c>
      <c r="N40" s="88">
        <f t="shared" si="9"/>
        <v>0.16574</v>
      </c>
      <c r="O40" s="88">
        <f t="shared" si="9"/>
        <v>0.17574000000000001</v>
      </c>
      <c r="P40" s="89">
        <f t="shared" si="9"/>
        <v>0.18573999999999999</v>
      </c>
      <c r="Q40" s="59"/>
    </row>
    <row r="41" spans="2:17" hidden="1">
      <c r="B41" s="82">
        <v>360000</v>
      </c>
      <c r="C41" s="83">
        <f t="shared" si="3"/>
        <v>18000</v>
      </c>
      <c r="D41" s="83">
        <f t="shared" si="4"/>
        <v>13140</v>
      </c>
      <c r="E41" s="83">
        <f t="shared" si="5"/>
        <v>328860</v>
      </c>
      <c r="F41" s="83">
        <f t="shared" si="6"/>
        <v>90000</v>
      </c>
      <c r="G41" s="83">
        <f t="shared" si="7"/>
        <v>90000</v>
      </c>
      <c r="H41" s="84">
        <f t="shared" ref="H41:H59" si="10">E41-F41-G41</f>
        <v>148860</v>
      </c>
      <c r="I41" s="83">
        <f t="shared" ref="I41:I59" si="11">IF(H41&lt;240000,(H41*0.15)+(H41*0.09),(H41*0.15)+(H41*0.09)+((H41-240000)*0.1))</f>
        <v>35726.400000000001</v>
      </c>
      <c r="J41" s="85">
        <f t="shared" ref="J41:J59" si="12">H41-I41</f>
        <v>113133.6</v>
      </c>
      <c r="K41" s="86">
        <f t="shared" si="8"/>
        <v>0</v>
      </c>
      <c r="L41" s="87">
        <f t="shared" si="9"/>
        <v>0.13574</v>
      </c>
      <c r="M41" s="90">
        <f t="shared" si="9"/>
        <v>0.15574000000000002</v>
      </c>
      <c r="N41" s="91">
        <f t="shared" si="9"/>
        <v>0.16574</v>
      </c>
      <c r="O41" s="91">
        <f t="shared" si="9"/>
        <v>0.17574000000000001</v>
      </c>
      <c r="P41" s="92">
        <f t="shared" si="9"/>
        <v>0.18573999999999999</v>
      </c>
      <c r="Q41" s="59"/>
    </row>
    <row r="42" spans="2:17" hidden="1">
      <c r="B42" s="82">
        <v>540000</v>
      </c>
      <c r="C42" s="83">
        <f t="shared" si="3"/>
        <v>27000</v>
      </c>
      <c r="D42" s="83">
        <f t="shared" si="4"/>
        <v>19710</v>
      </c>
      <c r="E42" s="83">
        <f t="shared" si="5"/>
        <v>493290</v>
      </c>
      <c r="F42" s="83">
        <f t="shared" si="6"/>
        <v>135000</v>
      </c>
      <c r="G42" s="83">
        <f t="shared" si="7"/>
        <v>135000</v>
      </c>
      <c r="H42" s="84">
        <f t="shared" si="10"/>
        <v>223290</v>
      </c>
      <c r="I42" s="83">
        <f t="shared" si="11"/>
        <v>53589.599999999999</v>
      </c>
      <c r="J42" s="85">
        <f t="shared" si="12"/>
        <v>169700.4</v>
      </c>
      <c r="K42" s="86">
        <f t="shared" si="8"/>
        <v>0</v>
      </c>
      <c r="L42" s="87">
        <f t="shared" si="9"/>
        <v>0.13574</v>
      </c>
      <c r="M42" s="87">
        <f t="shared" si="9"/>
        <v>0.15574000000000002</v>
      </c>
      <c r="N42" s="88">
        <f t="shared" si="9"/>
        <v>0.16574</v>
      </c>
      <c r="O42" s="88">
        <f t="shared" si="9"/>
        <v>0.17574000000000001</v>
      </c>
      <c r="P42" s="89">
        <f t="shared" si="9"/>
        <v>0.18574000000000002</v>
      </c>
      <c r="Q42" s="59"/>
    </row>
    <row r="43" spans="2:17" hidden="1">
      <c r="B43" s="82">
        <v>720000</v>
      </c>
      <c r="C43" s="83">
        <f t="shared" si="3"/>
        <v>36000</v>
      </c>
      <c r="D43" s="83">
        <f t="shared" si="4"/>
        <v>26280</v>
      </c>
      <c r="E43" s="83">
        <f t="shared" si="5"/>
        <v>657720</v>
      </c>
      <c r="F43" s="83">
        <f t="shared" si="6"/>
        <v>180000</v>
      </c>
      <c r="G43" s="83">
        <f t="shared" si="7"/>
        <v>180000</v>
      </c>
      <c r="H43" s="84">
        <f t="shared" si="10"/>
        <v>297720</v>
      </c>
      <c r="I43" s="83">
        <f t="shared" si="11"/>
        <v>77224.800000000003</v>
      </c>
      <c r="J43" s="85">
        <f t="shared" si="12"/>
        <v>220495.2</v>
      </c>
      <c r="K43" s="86">
        <f t="shared" si="8"/>
        <v>0</v>
      </c>
      <c r="L43" s="87">
        <f t="shared" si="9"/>
        <v>0.14375666666666667</v>
      </c>
      <c r="M43" s="90">
        <f t="shared" si="9"/>
        <v>0.16375666666666666</v>
      </c>
      <c r="N43" s="91">
        <f t="shared" si="9"/>
        <v>0.17375666666666667</v>
      </c>
      <c r="O43" s="91">
        <f t="shared" si="9"/>
        <v>0.18375666666666665</v>
      </c>
      <c r="P43" s="92">
        <f t="shared" si="9"/>
        <v>0.19375666666666666</v>
      </c>
      <c r="Q43" s="59"/>
    </row>
    <row r="44" spans="2:17" hidden="1">
      <c r="B44" s="82">
        <v>900000</v>
      </c>
      <c r="C44" s="83">
        <f t="shared" si="3"/>
        <v>45000</v>
      </c>
      <c r="D44" s="83">
        <f t="shared" si="4"/>
        <v>32850</v>
      </c>
      <c r="E44" s="83">
        <f t="shared" si="5"/>
        <v>822150</v>
      </c>
      <c r="F44" s="83">
        <f t="shared" si="6"/>
        <v>225000</v>
      </c>
      <c r="G44" s="83">
        <f t="shared" si="7"/>
        <v>225000</v>
      </c>
      <c r="H44" s="84">
        <f t="shared" si="10"/>
        <v>372150</v>
      </c>
      <c r="I44" s="83">
        <f t="shared" si="11"/>
        <v>102531</v>
      </c>
      <c r="J44" s="85">
        <f t="shared" si="12"/>
        <v>269619</v>
      </c>
      <c r="K44" s="86">
        <f t="shared" si="8"/>
        <v>0</v>
      </c>
      <c r="L44" s="87">
        <f t="shared" si="9"/>
        <v>0.15042333333333333</v>
      </c>
      <c r="M44" s="87">
        <f t="shared" si="9"/>
        <v>0.17042333333333334</v>
      </c>
      <c r="N44" s="88">
        <f t="shared" si="9"/>
        <v>0.18042333333333332</v>
      </c>
      <c r="O44" s="88">
        <f t="shared" si="9"/>
        <v>0.19042333333333333</v>
      </c>
      <c r="P44" s="89">
        <f t="shared" si="9"/>
        <v>0.20042333333333334</v>
      </c>
      <c r="Q44" s="59"/>
    </row>
    <row r="45" spans="2:17" hidden="1">
      <c r="B45" s="82">
        <v>1080000</v>
      </c>
      <c r="C45" s="83">
        <f t="shared" si="3"/>
        <v>54000</v>
      </c>
      <c r="D45" s="83">
        <f t="shared" si="4"/>
        <v>39420</v>
      </c>
      <c r="E45" s="83">
        <f t="shared" si="5"/>
        <v>986580</v>
      </c>
      <c r="F45" s="83">
        <f t="shared" si="6"/>
        <v>270000</v>
      </c>
      <c r="G45" s="83">
        <f t="shared" si="7"/>
        <v>270000</v>
      </c>
      <c r="H45" s="84">
        <f t="shared" si="10"/>
        <v>446580</v>
      </c>
      <c r="I45" s="83">
        <f t="shared" si="11"/>
        <v>127837.2</v>
      </c>
      <c r="J45" s="85">
        <f t="shared" si="12"/>
        <v>318742.8</v>
      </c>
      <c r="K45" s="86">
        <f>IF($B$8="Anexo IV",0,$B45*MOD/1.615*0.24)</f>
        <v>0</v>
      </c>
      <c r="L45" s="87">
        <f t="shared" si="9"/>
        <v>0.1548677777777778</v>
      </c>
      <c r="M45" s="90">
        <f t="shared" si="9"/>
        <v>0.17486777777777779</v>
      </c>
      <c r="N45" s="91">
        <f t="shared" si="9"/>
        <v>0.1848677777777778</v>
      </c>
      <c r="O45" s="91">
        <f t="shared" si="9"/>
        <v>0.19486777777777778</v>
      </c>
      <c r="P45" s="92">
        <f t="shared" si="9"/>
        <v>0.20486777777777779</v>
      </c>
      <c r="Q45" s="59"/>
    </row>
    <row r="46" spans="2:17" hidden="1">
      <c r="B46" s="82">
        <v>1260000</v>
      </c>
      <c r="C46" s="83">
        <f t="shared" si="3"/>
        <v>63000</v>
      </c>
      <c r="D46" s="83">
        <f t="shared" si="4"/>
        <v>45990</v>
      </c>
      <c r="E46" s="83">
        <f t="shared" si="5"/>
        <v>1151010</v>
      </c>
      <c r="F46" s="83">
        <f t="shared" si="6"/>
        <v>315000</v>
      </c>
      <c r="G46" s="83">
        <f t="shared" si="7"/>
        <v>315000</v>
      </c>
      <c r="H46" s="84">
        <f t="shared" si="10"/>
        <v>521010</v>
      </c>
      <c r="I46" s="83">
        <f t="shared" si="11"/>
        <v>153143.4</v>
      </c>
      <c r="J46" s="85">
        <f t="shared" si="12"/>
        <v>367866.6</v>
      </c>
      <c r="K46" s="86">
        <f t="shared" si="8"/>
        <v>0</v>
      </c>
      <c r="L46" s="87">
        <f t="shared" si="9"/>
        <v>0.15804238095238093</v>
      </c>
      <c r="M46" s="87">
        <f t="shared" si="9"/>
        <v>0.17804238095238095</v>
      </c>
      <c r="N46" s="88">
        <f t="shared" si="9"/>
        <v>0.18804238095238096</v>
      </c>
      <c r="O46" s="88">
        <f t="shared" si="9"/>
        <v>0.19804238095238094</v>
      </c>
      <c r="P46" s="89">
        <f t="shared" si="9"/>
        <v>0.20804238095238095</v>
      </c>
      <c r="Q46" s="59"/>
    </row>
    <row r="47" spans="2:17" hidden="1">
      <c r="B47" s="82">
        <v>1440000</v>
      </c>
      <c r="C47" s="83">
        <f t="shared" si="3"/>
        <v>72000</v>
      </c>
      <c r="D47" s="83">
        <f t="shared" si="4"/>
        <v>52560</v>
      </c>
      <c r="E47" s="83">
        <f t="shared" si="5"/>
        <v>1315440</v>
      </c>
      <c r="F47" s="83">
        <f t="shared" si="6"/>
        <v>360000</v>
      </c>
      <c r="G47" s="83">
        <f t="shared" si="7"/>
        <v>360000</v>
      </c>
      <c r="H47" s="84">
        <f t="shared" si="10"/>
        <v>595440</v>
      </c>
      <c r="I47" s="83">
        <f t="shared" si="11"/>
        <v>178449.6</v>
      </c>
      <c r="J47" s="85">
        <f t="shared" si="12"/>
        <v>416990.4</v>
      </c>
      <c r="K47" s="86">
        <f t="shared" si="8"/>
        <v>0</v>
      </c>
      <c r="L47" s="87">
        <f t="shared" si="9"/>
        <v>0.16042333333333333</v>
      </c>
      <c r="M47" s="90">
        <f t="shared" si="9"/>
        <v>0.18042333333333332</v>
      </c>
      <c r="N47" s="91">
        <f t="shared" si="9"/>
        <v>0.19042333333333331</v>
      </c>
      <c r="O47" s="91">
        <f t="shared" si="9"/>
        <v>0.20042333333333331</v>
      </c>
      <c r="P47" s="92">
        <f t="shared" si="9"/>
        <v>0.21042333333333332</v>
      </c>
      <c r="Q47" s="59"/>
    </row>
    <row r="48" spans="2:17" hidden="1">
      <c r="B48" s="82">
        <v>1620000</v>
      </c>
      <c r="C48" s="83">
        <f t="shared" si="3"/>
        <v>81000</v>
      </c>
      <c r="D48" s="83">
        <f t="shared" si="4"/>
        <v>59129.999999999993</v>
      </c>
      <c r="E48" s="83">
        <f t="shared" si="5"/>
        <v>1479870</v>
      </c>
      <c r="F48" s="83">
        <f t="shared" si="6"/>
        <v>405000</v>
      </c>
      <c r="G48" s="83">
        <f t="shared" si="7"/>
        <v>405000</v>
      </c>
      <c r="H48" s="84">
        <f t="shared" si="10"/>
        <v>669870</v>
      </c>
      <c r="I48" s="83">
        <f t="shared" si="11"/>
        <v>203755.8</v>
      </c>
      <c r="J48" s="85">
        <f t="shared" si="12"/>
        <v>466114.2</v>
      </c>
      <c r="K48" s="86">
        <f t="shared" si="8"/>
        <v>0</v>
      </c>
      <c r="L48" s="87">
        <f t="shared" si="9"/>
        <v>0.16227518518518519</v>
      </c>
      <c r="M48" s="87">
        <f t="shared" si="9"/>
        <v>0.18227518518518518</v>
      </c>
      <c r="N48" s="88">
        <f t="shared" si="9"/>
        <v>0.19227518518518519</v>
      </c>
      <c r="O48" s="88">
        <f t="shared" si="9"/>
        <v>0.20227518518518517</v>
      </c>
      <c r="P48" s="89">
        <f t="shared" si="9"/>
        <v>0.21227518518518518</v>
      </c>
      <c r="Q48" s="59"/>
    </row>
    <row r="49" spans="2:17" hidden="1">
      <c r="B49" s="82">
        <v>1800000</v>
      </c>
      <c r="C49" s="83">
        <f t="shared" si="3"/>
        <v>90000</v>
      </c>
      <c r="D49" s="83">
        <f t="shared" si="4"/>
        <v>65700</v>
      </c>
      <c r="E49" s="83">
        <f t="shared" si="5"/>
        <v>1644300</v>
      </c>
      <c r="F49" s="83">
        <f t="shared" si="6"/>
        <v>450000</v>
      </c>
      <c r="G49" s="83">
        <f t="shared" si="7"/>
        <v>450000</v>
      </c>
      <c r="H49" s="84">
        <f t="shared" si="10"/>
        <v>744300</v>
      </c>
      <c r="I49" s="83">
        <f t="shared" si="11"/>
        <v>229062</v>
      </c>
      <c r="J49" s="85">
        <f t="shared" si="12"/>
        <v>515238</v>
      </c>
      <c r="K49" s="86">
        <f t="shared" si="8"/>
        <v>0</v>
      </c>
      <c r="L49" s="87">
        <f t="shared" si="9"/>
        <v>0.16375666666666666</v>
      </c>
      <c r="M49" s="90">
        <f t="shared" si="9"/>
        <v>0.18375666666666668</v>
      </c>
      <c r="N49" s="91">
        <f t="shared" si="9"/>
        <v>0.19375666666666666</v>
      </c>
      <c r="O49" s="91">
        <f t="shared" si="9"/>
        <v>0.20375666666666667</v>
      </c>
      <c r="P49" s="92">
        <f t="shared" si="9"/>
        <v>0.21375666666666668</v>
      </c>
      <c r="Q49" s="59"/>
    </row>
    <row r="50" spans="2:17" hidden="1">
      <c r="B50" s="82">
        <v>1980000</v>
      </c>
      <c r="C50" s="83">
        <f t="shared" si="3"/>
        <v>99000</v>
      </c>
      <c r="D50" s="83">
        <f t="shared" si="4"/>
        <v>72270</v>
      </c>
      <c r="E50" s="83">
        <f t="shared" si="5"/>
        <v>1808730</v>
      </c>
      <c r="F50" s="83">
        <f t="shared" si="6"/>
        <v>495000</v>
      </c>
      <c r="G50" s="83">
        <f t="shared" si="7"/>
        <v>495000</v>
      </c>
      <c r="H50" s="84">
        <f t="shared" si="10"/>
        <v>818730</v>
      </c>
      <c r="I50" s="83">
        <f t="shared" si="11"/>
        <v>254368.2</v>
      </c>
      <c r="J50" s="85">
        <f t="shared" si="12"/>
        <v>564361.80000000005</v>
      </c>
      <c r="K50" s="86">
        <f t="shared" si="8"/>
        <v>0</v>
      </c>
      <c r="L50" s="87">
        <f t="shared" si="9"/>
        <v>0.16496878787878788</v>
      </c>
      <c r="M50" s="87">
        <f t="shared" si="9"/>
        <v>0.18496878787878787</v>
      </c>
      <c r="N50" s="88">
        <f t="shared" si="9"/>
        <v>0.19496878787878788</v>
      </c>
      <c r="O50" s="88">
        <f t="shared" si="9"/>
        <v>0.20496878787878789</v>
      </c>
      <c r="P50" s="89">
        <f t="shared" si="9"/>
        <v>0.2149687878787879</v>
      </c>
      <c r="Q50" s="59"/>
    </row>
    <row r="51" spans="2:17" hidden="1">
      <c r="B51" s="82">
        <v>2160000</v>
      </c>
      <c r="C51" s="83">
        <f t="shared" si="3"/>
        <v>108000</v>
      </c>
      <c r="D51" s="83">
        <f t="shared" si="4"/>
        <v>78840</v>
      </c>
      <c r="E51" s="83">
        <f t="shared" si="5"/>
        <v>1973160</v>
      </c>
      <c r="F51" s="83">
        <f t="shared" si="6"/>
        <v>540000</v>
      </c>
      <c r="G51" s="83">
        <f t="shared" si="7"/>
        <v>540000</v>
      </c>
      <c r="H51" s="84">
        <f t="shared" si="10"/>
        <v>893160</v>
      </c>
      <c r="I51" s="83">
        <f t="shared" si="11"/>
        <v>279674.40000000002</v>
      </c>
      <c r="J51" s="85">
        <f t="shared" si="12"/>
        <v>613485.6</v>
      </c>
      <c r="K51" s="86">
        <f t="shared" si="8"/>
        <v>0</v>
      </c>
      <c r="L51" s="87">
        <f t="shared" si="9"/>
        <v>0.1659788888888889</v>
      </c>
      <c r="M51" s="90">
        <f t="shared" si="9"/>
        <v>0.18597888888888889</v>
      </c>
      <c r="N51" s="91">
        <f t="shared" si="9"/>
        <v>0.1959788888888889</v>
      </c>
      <c r="O51" s="91">
        <f t="shared" si="9"/>
        <v>0.20597888888888891</v>
      </c>
      <c r="P51" s="92">
        <f t="shared" si="9"/>
        <v>0.21597888888888889</v>
      </c>
      <c r="Q51" s="59"/>
    </row>
    <row r="52" spans="2:17" hidden="1">
      <c r="B52" s="82">
        <v>2340000</v>
      </c>
      <c r="C52" s="83">
        <f t="shared" si="3"/>
        <v>117000</v>
      </c>
      <c r="D52" s="83">
        <f t="shared" si="4"/>
        <v>85410</v>
      </c>
      <c r="E52" s="83">
        <f t="shared" si="5"/>
        <v>2137590</v>
      </c>
      <c r="F52" s="83">
        <f t="shared" si="6"/>
        <v>585000</v>
      </c>
      <c r="G52" s="83">
        <f t="shared" si="7"/>
        <v>585000</v>
      </c>
      <c r="H52" s="84">
        <f t="shared" si="10"/>
        <v>967590</v>
      </c>
      <c r="I52" s="83">
        <f t="shared" si="11"/>
        <v>304980.59999999998</v>
      </c>
      <c r="J52" s="85">
        <f t="shared" si="12"/>
        <v>662609.4</v>
      </c>
      <c r="K52" s="86">
        <f t="shared" si="8"/>
        <v>0</v>
      </c>
      <c r="L52" s="87">
        <f t="shared" si="9"/>
        <v>0.16683358974358972</v>
      </c>
      <c r="M52" s="87">
        <f t="shared" si="9"/>
        <v>0.18683358974358974</v>
      </c>
      <c r="N52" s="88">
        <f t="shared" si="9"/>
        <v>0.19683358974358972</v>
      </c>
      <c r="O52" s="88">
        <f t="shared" si="9"/>
        <v>0.20683358974358973</v>
      </c>
      <c r="P52" s="89">
        <f t="shared" si="9"/>
        <v>0.21683358974358974</v>
      </c>
      <c r="Q52" s="59"/>
    </row>
    <row r="53" spans="2:17" hidden="1">
      <c r="B53" s="82">
        <v>2520000</v>
      </c>
      <c r="C53" s="83">
        <f t="shared" si="3"/>
        <v>126000</v>
      </c>
      <c r="D53" s="83">
        <f t="shared" si="4"/>
        <v>91980</v>
      </c>
      <c r="E53" s="83">
        <f t="shared" si="5"/>
        <v>2302020</v>
      </c>
      <c r="F53" s="83">
        <f t="shared" si="6"/>
        <v>630000</v>
      </c>
      <c r="G53" s="83">
        <f t="shared" si="7"/>
        <v>630000</v>
      </c>
      <c r="H53" s="84">
        <f t="shared" si="10"/>
        <v>1042020</v>
      </c>
      <c r="I53" s="83">
        <f t="shared" si="11"/>
        <v>330286.8</v>
      </c>
      <c r="J53" s="85">
        <f t="shared" si="12"/>
        <v>711733.2</v>
      </c>
      <c r="K53" s="86">
        <f t="shared" si="8"/>
        <v>0</v>
      </c>
      <c r="L53" s="87">
        <f t="shared" si="9"/>
        <v>0.16756619047619048</v>
      </c>
      <c r="M53" s="90">
        <f t="shared" si="9"/>
        <v>0.18756619047619047</v>
      </c>
      <c r="N53" s="91">
        <f t="shared" si="9"/>
        <v>0.19756619047619048</v>
      </c>
      <c r="O53" s="91">
        <f t="shared" si="9"/>
        <v>0.20756619047619046</v>
      </c>
      <c r="P53" s="92">
        <f t="shared" si="9"/>
        <v>0.2175661904761905</v>
      </c>
      <c r="Q53" s="59"/>
    </row>
    <row r="54" spans="2:17" hidden="1">
      <c r="B54" s="82">
        <v>2700000</v>
      </c>
      <c r="C54" s="83">
        <f t="shared" si="3"/>
        <v>135000</v>
      </c>
      <c r="D54" s="83">
        <f t="shared" si="4"/>
        <v>98550</v>
      </c>
      <c r="E54" s="83">
        <f t="shared" si="5"/>
        <v>2466450</v>
      </c>
      <c r="F54" s="83">
        <f t="shared" si="6"/>
        <v>675000</v>
      </c>
      <c r="G54" s="83">
        <f t="shared" si="7"/>
        <v>675000</v>
      </c>
      <c r="H54" s="84">
        <f t="shared" si="10"/>
        <v>1116450</v>
      </c>
      <c r="I54" s="83">
        <f t="shared" si="11"/>
        <v>355593</v>
      </c>
      <c r="J54" s="85">
        <f t="shared" si="12"/>
        <v>760857</v>
      </c>
      <c r="K54" s="86">
        <f t="shared" si="8"/>
        <v>0</v>
      </c>
      <c r="L54" s="87">
        <f t="shared" si="9"/>
        <v>0.16820111111111111</v>
      </c>
      <c r="M54" s="87">
        <f t="shared" si="9"/>
        <v>0.18820111111111112</v>
      </c>
      <c r="N54" s="88">
        <f t="shared" si="9"/>
        <v>0.19820111111111111</v>
      </c>
      <c r="O54" s="88">
        <f t="shared" si="9"/>
        <v>0.20820111111111111</v>
      </c>
      <c r="P54" s="89">
        <f t="shared" si="9"/>
        <v>0.21820111111111112</v>
      </c>
      <c r="Q54" s="59"/>
    </row>
    <row r="55" spans="2:17" hidden="1">
      <c r="B55" s="82">
        <v>2880000</v>
      </c>
      <c r="C55" s="83">
        <f t="shared" si="3"/>
        <v>144000</v>
      </c>
      <c r="D55" s="83">
        <f t="shared" si="4"/>
        <v>105120</v>
      </c>
      <c r="E55" s="83">
        <f t="shared" si="5"/>
        <v>2630880</v>
      </c>
      <c r="F55" s="83">
        <f t="shared" si="6"/>
        <v>720000</v>
      </c>
      <c r="G55" s="83">
        <f t="shared" si="7"/>
        <v>720000</v>
      </c>
      <c r="H55" s="84">
        <f t="shared" si="10"/>
        <v>1190880</v>
      </c>
      <c r="I55" s="83">
        <f t="shared" si="11"/>
        <v>380899.2</v>
      </c>
      <c r="J55" s="85">
        <f t="shared" si="12"/>
        <v>809980.8</v>
      </c>
      <c r="K55" s="86">
        <f t="shared" si="8"/>
        <v>0</v>
      </c>
      <c r="L55" s="87">
        <f t="shared" si="9"/>
        <v>0.16875666666666667</v>
      </c>
      <c r="M55" s="90">
        <f t="shared" si="9"/>
        <v>0.18875666666666666</v>
      </c>
      <c r="N55" s="91">
        <f t="shared" si="9"/>
        <v>0.19875666666666664</v>
      </c>
      <c r="O55" s="91">
        <f t="shared" si="9"/>
        <v>0.20875666666666665</v>
      </c>
      <c r="P55" s="92">
        <f t="shared" si="9"/>
        <v>0.21875666666666665</v>
      </c>
      <c r="Q55" s="59"/>
    </row>
    <row r="56" spans="2:17" hidden="1">
      <c r="B56" s="82">
        <v>3060000</v>
      </c>
      <c r="C56" s="83">
        <f t="shared" si="3"/>
        <v>153000</v>
      </c>
      <c r="D56" s="83">
        <f t="shared" si="4"/>
        <v>111690</v>
      </c>
      <c r="E56" s="83">
        <f t="shared" si="5"/>
        <v>2795310</v>
      </c>
      <c r="F56" s="83">
        <f t="shared" si="6"/>
        <v>765000</v>
      </c>
      <c r="G56" s="83">
        <f t="shared" si="7"/>
        <v>765000</v>
      </c>
      <c r="H56" s="84">
        <f t="shared" si="10"/>
        <v>1265310</v>
      </c>
      <c r="I56" s="83">
        <f t="shared" si="11"/>
        <v>406205.4</v>
      </c>
      <c r="J56" s="85">
        <f t="shared" si="12"/>
        <v>859104.6</v>
      </c>
      <c r="K56" s="86">
        <f t="shared" si="8"/>
        <v>0</v>
      </c>
      <c r="L56" s="87">
        <f t="shared" si="9"/>
        <v>0.16924686274509804</v>
      </c>
      <c r="M56" s="87">
        <f t="shared" si="9"/>
        <v>0.18924686274509805</v>
      </c>
      <c r="N56" s="88">
        <f t="shared" si="9"/>
        <v>0.19924686274509804</v>
      </c>
      <c r="O56" s="88">
        <f t="shared" si="9"/>
        <v>0.20924686274509804</v>
      </c>
      <c r="P56" s="89">
        <f t="shared" si="9"/>
        <v>0.21924686274509805</v>
      </c>
      <c r="Q56" s="59"/>
    </row>
    <row r="57" spans="2:17" hidden="1">
      <c r="B57" s="82">
        <v>3240000</v>
      </c>
      <c r="C57" s="83">
        <f t="shared" si="3"/>
        <v>162000</v>
      </c>
      <c r="D57" s="83">
        <f t="shared" si="4"/>
        <v>118259.99999999999</v>
      </c>
      <c r="E57" s="83">
        <f t="shared" si="5"/>
        <v>2959740</v>
      </c>
      <c r="F57" s="83">
        <f t="shared" si="6"/>
        <v>810000</v>
      </c>
      <c r="G57" s="83">
        <f t="shared" si="7"/>
        <v>810000</v>
      </c>
      <c r="H57" s="84">
        <f t="shared" si="10"/>
        <v>1339740</v>
      </c>
      <c r="I57" s="83">
        <f t="shared" si="11"/>
        <v>431511.6</v>
      </c>
      <c r="J57" s="85">
        <f t="shared" si="12"/>
        <v>908228.4</v>
      </c>
      <c r="K57" s="86">
        <f t="shared" si="8"/>
        <v>0</v>
      </c>
      <c r="L57" s="87">
        <f t="shared" si="9"/>
        <v>0.16968259259259258</v>
      </c>
      <c r="M57" s="90">
        <f t="shared" si="9"/>
        <v>0.1896825925925926</v>
      </c>
      <c r="N57" s="91">
        <f t="shared" si="9"/>
        <v>0.19968259259259258</v>
      </c>
      <c r="O57" s="91">
        <f t="shared" si="9"/>
        <v>0.20968259259259259</v>
      </c>
      <c r="P57" s="92">
        <f t="shared" si="9"/>
        <v>0.2196825925925926</v>
      </c>
      <c r="Q57" s="59"/>
    </row>
    <row r="58" spans="2:17" hidden="1">
      <c r="B58" s="82">
        <v>3420000</v>
      </c>
      <c r="C58" s="83">
        <f t="shared" si="3"/>
        <v>171000</v>
      </c>
      <c r="D58" s="83">
        <f t="shared" si="4"/>
        <v>124829.99999999999</v>
      </c>
      <c r="E58" s="83">
        <f t="shared" si="5"/>
        <v>3124170</v>
      </c>
      <c r="F58" s="83">
        <f t="shared" si="6"/>
        <v>855000</v>
      </c>
      <c r="G58" s="83">
        <f t="shared" si="7"/>
        <v>855000</v>
      </c>
      <c r="H58" s="84">
        <f>E58-F58-G58</f>
        <v>1414170</v>
      </c>
      <c r="I58" s="83">
        <f t="shared" si="11"/>
        <v>456817.8</v>
      </c>
      <c r="J58" s="85">
        <f>H58-I58</f>
        <v>957352.2</v>
      </c>
      <c r="K58" s="86">
        <f t="shared" si="8"/>
        <v>0</v>
      </c>
      <c r="L58" s="87">
        <f t="shared" si="9"/>
        <v>0.17007245614035085</v>
      </c>
      <c r="M58" s="87">
        <f t="shared" si="9"/>
        <v>0.19007245614035087</v>
      </c>
      <c r="N58" s="88">
        <f t="shared" si="9"/>
        <v>0.20007245614035085</v>
      </c>
      <c r="O58" s="88">
        <f t="shared" si="9"/>
        <v>0.21007245614035086</v>
      </c>
      <c r="P58" s="89">
        <f t="shared" si="9"/>
        <v>0.22007245614035087</v>
      </c>
      <c r="Q58" s="59"/>
    </row>
    <row r="59" spans="2:17" ht="15.75" hidden="1" thickBot="1">
      <c r="B59" s="93">
        <v>3600000</v>
      </c>
      <c r="C59" s="94">
        <f t="shared" si="3"/>
        <v>180000</v>
      </c>
      <c r="D59" s="94">
        <f t="shared" si="4"/>
        <v>131400</v>
      </c>
      <c r="E59" s="94">
        <f t="shared" si="5"/>
        <v>3288600</v>
      </c>
      <c r="F59" s="94">
        <f t="shared" si="6"/>
        <v>900000</v>
      </c>
      <c r="G59" s="94">
        <f t="shared" si="7"/>
        <v>900000</v>
      </c>
      <c r="H59" s="95">
        <f t="shared" si="10"/>
        <v>1488600</v>
      </c>
      <c r="I59" s="94">
        <f t="shared" si="11"/>
        <v>482124</v>
      </c>
      <c r="J59" s="96">
        <f t="shared" si="12"/>
        <v>1006476</v>
      </c>
      <c r="K59" s="86">
        <f t="shared" si="8"/>
        <v>0</v>
      </c>
      <c r="L59" s="87">
        <f t="shared" si="9"/>
        <v>0.17042333333333334</v>
      </c>
      <c r="M59" s="97">
        <f t="shared" si="9"/>
        <v>0.19042333333333333</v>
      </c>
      <c r="N59" s="98">
        <f t="shared" si="9"/>
        <v>0.20042333333333334</v>
      </c>
      <c r="O59" s="98">
        <f t="shared" si="9"/>
        <v>0.21042333333333332</v>
      </c>
      <c r="P59" s="99">
        <f t="shared" si="9"/>
        <v>0.22042333333333333</v>
      </c>
      <c r="Q59" s="59"/>
    </row>
    <row r="60" spans="2:17" hidden="1">
      <c r="B60" s="59"/>
      <c r="C60" s="61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2:17" ht="23.25" hidden="1">
      <c r="B61" s="100" t="s">
        <v>18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59"/>
    </row>
    <row r="62" spans="2:17" ht="15.75" hidden="1" thickBot="1">
      <c r="B62" s="60" t="s">
        <v>26</v>
      </c>
      <c r="C62" s="61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</row>
    <row r="63" spans="2:17" ht="15" hidden="1" customHeight="1">
      <c r="B63" s="101" t="s">
        <v>3</v>
      </c>
      <c r="C63" s="102" t="s">
        <v>25</v>
      </c>
      <c r="D63" s="103"/>
      <c r="E63" s="104" t="s">
        <v>21</v>
      </c>
      <c r="F63" s="104" t="s">
        <v>22</v>
      </c>
      <c r="G63" s="68" t="s">
        <v>16</v>
      </c>
      <c r="H63" s="105" t="s">
        <v>23</v>
      </c>
      <c r="I63" s="106"/>
      <c r="J63" s="106"/>
      <c r="K63" s="106"/>
      <c r="L63" s="107"/>
      <c r="M63" s="108" t="s">
        <v>24</v>
      </c>
      <c r="N63" s="109"/>
      <c r="O63" s="109"/>
      <c r="P63" s="109"/>
      <c r="Q63" s="110"/>
    </row>
    <row r="64" spans="2:17" hidden="1">
      <c r="B64" s="111"/>
      <c r="C64" s="112" t="s">
        <v>19</v>
      </c>
      <c r="D64" s="113" t="s">
        <v>20</v>
      </c>
      <c r="E64" s="114"/>
      <c r="F64" s="115"/>
      <c r="G64" s="76"/>
      <c r="H64" s="116" t="s">
        <v>175</v>
      </c>
      <c r="I64" s="116" t="s">
        <v>12</v>
      </c>
      <c r="J64" s="117" t="s">
        <v>13</v>
      </c>
      <c r="K64" s="117" t="s">
        <v>15</v>
      </c>
      <c r="L64" s="118" t="s">
        <v>14</v>
      </c>
      <c r="M64" s="119" t="s">
        <v>175</v>
      </c>
      <c r="N64" s="119" t="s">
        <v>12</v>
      </c>
      <c r="O64" s="120" t="s">
        <v>13</v>
      </c>
      <c r="P64" s="120" t="s">
        <v>15</v>
      </c>
      <c r="Q64" s="121" t="s">
        <v>14</v>
      </c>
    </row>
    <row r="65" spans="2:17" hidden="1">
      <c r="B65" s="122">
        <f t="shared" ref="B65:B83" si="13">B40</f>
        <v>180000</v>
      </c>
      <c r="C65" s="82">
        <f t="shared" ref="C65:C84" si="14">IF(($B65*0.16)&gt;240000,(($B65*0.16)*0.15)+((($B65*0.16)-240000)*0.1),($B65*0.16)*0.15)</f>
        <v>4320</v>
      </c>
      <c r="D65" s="85">
        <f t="shared" ref="D65:D84" si="15">IF(($B65*0.32)&gt;240000,(($B65*0.32)*0.15)+((($B65*0.32)-240000)*0.1),($B65*0.32)*0.15)</f>
        <v>8640</v>
      </c>
      <c r="E65" s="123">
        <f t="shared" ref="E65:E84" si="16">B65*0.32*0.09</f>
        <v>5184</v>
      </c>
      <c r="F65" s="86">
        <f t="shared" ref="F65:F84" si="17">B65*0.0365</f>
        <v>6570</v>
      </c>
      <c r="G65" s="86">
        <f t="shared" ref="G65:G84" si="18">IF($B$8="Anexo IV",0,$B65*MOD/1.615*0.24)</f>
        <v>0</v>
      </c>
      <c r="H65" s="124">
        <f t="shared" ref="H65:L74" si="19">(($B65*(RIGHT(H$64,2))+$C65+$E65+$F65+$G65)/$B65)</f>
        <v>8.9300000000000004E-2</v>
      </c>
      <c r="I65" s="124">
        <f t="shared" si="19"/>
        <v>0.10929999999999999</v>
      </c>
      <c r="J65" s="125">
        <f t="shared" si="19"/>
        <v>0.1193</v>
      </c>
      <c r="K65" s="125">
        <f t="shared" si="19"/>
        <v>0.1293</v>
      </c>
      <c r="L65" s="126">
        <f t="shared" si="19"/>
        <v>0.13930000000000001</v>
      </c>
      <c r="M65" s="127">
        <f t="shared" ref="M65:Q74" si="20">(($B65*(RIGHT(M$64,2))+$D65+$E65+$F65+$G65)/$B65)</f>
        <v>0.1133</v>
      </c>
      <c r="N65" s="127">
        <f t="shared" si="20"/>
        <v>0.1333</v>
      </c>
      <c r="O65" s="128">
        <f t="shared" si="20"/>
        <v>0.14330000000000001</v>
      </c>
      <c r="P65" s="128">
        <f t="shared" si="20"/>
        <v>0.15329999999999999</v>
      </c>
      <c r="Q65" s="129">
        <f t="shared" si="20"/>
        <v>0.1633</v>
      </c>
    </row>
    <row r="66" spans="2:17" hidden="1">
      <c r="B66" s="122">
        <f t="shared" si="13"/>
        <v>360000</v>
      </c>
      <c r="C66" s="82">
        <f t="shared" si="14"/>
        <v>8640</v>
      </c>
      <c r="D66" s="85">
        <f t="shared" si="15"/>
        <v>17280</v>
      </c>
      <c r="E66" s="123">
        <f t="shared" si="16"/>
        <v>10368</v>
      </c>
      <c r="F66" s="86">
        <f t="shared" si="17"/>
        <v>13140</v>
      </c>
      <c r="G66" s="86">
        <f t="shared" si="18"/>
        <v>0</v>
      </c>
      <c r="H66" s="130">
        <f t="shared" si="19"/>
        <v>8.9300000000000004E-2</v>
      </c>
      <c r="I66" s="130">
        <f t="shared" si="19"/>
        <v>0.10929999999999999</v>
      </c>
      <c r="J66" s="131">
        <f t="shared" si="19"/>
        <v>0.1193</v>
      </c>
      <c r="K66" s="131">
        <f t="shared" si="19"/>
        <v>0.1293</v>
      </c>
      <c r="L66" s="132">
        <f t="shared" si="19"/>
        <v>0.13930000000000001</v>
      </c>
      <c r="M66" s="127">
        <f t="shared" si="20"/>
        <v>0.1133</v>
      </c>
      <c r="N66" s="133">
        <f t="shared" si="20"/>
        <v>0.1333</v>
      </c>
      <c r="O66" s="134">
        <f t="shared" si="20"/>
        <v>0.14330000000000001</v>
      </c>
      <c r="P66" s="134">
        <f t="shared" si="20"/>
        <v>0.15329999999999999</v>
      </c>
      <c r="Q66" s="135">
        <f t="shared" si="20"/>
        <v>0.1633</v>
      </c>
    </row>
    <row r="67" spans="2:17" hidden="1">
      <c r="B67" s="122">
        <f t="shared" si="13"/>
        <v>540000</v>
      </c>
      <c r="C67" s="82">
        <f t="shared" si="14"/>
        <v>12960</v>
      </c>
      <c r="D67" s="85">
        <f t="shared" si="15"/>
        <v>25920</v>
      </c>
      <c r="E67" s="123">
        <f t="shared" si="16"/>
        <v>15552</v>
      </c>
      <c r="F67" s="86">
        <f t="shared" si="17"/>
        <v>19710</v>
      </c>
      <c r="G67" s="86">
        <f t="shared" si="18"/>
        <v>0</v>
      </c>
      <c r="H67" s="124">
        <f t="shared" si="19"/>
        <v>8.9300000000000004E-2</v>
      </c>
      <c r="I67" s="124">
        <f t="shared" si="19"/>
        <v>0.10929999999999999</v>
      </c>
      <c r="J67" s="125">
        <f t="shared" si="19"/>
        <v>0.1193</v>
      </c>
      <c r="K67" s="125">
        <f t="shared" si="19"/>
        <v>0.1293</v>
      </c>
      <c r="L67" s="126">
        <f t="shared" si="19"/>
        <v>0.13930000000000001</v>
      </c>
      <c r="M67" s="127">
        <f t="shared" si="20"/>
        <v>0.1133</v>
      </c>
      <c r="N67" s="127">
        <f t="shared" si="20"/>
        <v>0.1333</v>
      </c>
      <c r="O67" s="128">
        <f t="shared" si="20"/>
        <v>0.14330000000000001</v>
      </c>
      <c r="P67" s="128">
        <f t="shared" si="20"/>
        <v>0.15329999999999999</v>
      </c>
      <c r="Q67" s="129">
        <f t="shared" si="20"/>
        <v>0.1633</v>
      </c>
    </row>
    <row r="68" spans="2:17" hidden="1">
      <c r="B68" s="122">
        <f t="shared" si="13"/>
        <v>720000</v>
      </c>
      <c r="C68" s="82">
        <f t="shared" si="14"/>
        <v>17280</v>
      </c>
      <c r="D68" s="85">
        <f t="shared" si="15"/>
        <v>34560</v>
      </c>
      <c r="E68" s="123">
        <f t="shared" si="16"/>
        <v>20736</v>
      </c>
      <c r="F68" s="86">
        <f t="shared" si="17"/>
        <v>26280</v>
      </c>
      <c r="G68" s="86">
        <f t="shared" si="18"/>
        <v>0</v>
      </c>
      <c r="H68" s="130">
        <f t="shared" si="19"/>
        <v>8.9300000000000004E-2</v>
      </c>
      <c r="I68" s="130">
        <f t="shared" si="19"/>
        <v>0.10929999999999999</v>
      </c>
      <c r="J68" s="131">
        <f t="shared" si="19"/>
        <v>0.1193</v>
      </c>
      <c r="K68" s="131">
        <f t="shared" si="19"/>
        <v>0.1293</v>
      </c>
      <c r="L68" s="132">
        <f t="shared" si="19"/>
        <v>0.13930000000000001</v>
      </c>
      <c r="M68" s="127">
        <f t="shared" si="20"/>
        <v>0.1133</v>
      </c>
      <c r="N68" s="133">
        <f t="shared" si="20"/>
        <v>0.1333</v>
      </c>
      <c r="O68" s="134">
        <f t="shared" si="20"/>
        <v>0.14330000000000001</v>
      </c>
      <c r="P68" s="134">
        <f t="shared" si="20"/>
        <v>0.15329999999999999</v>
      </c>
      <c r="Q68" s="135">
        <f t="shared" si="20"/>
        <v>0.1633</v>
      </c>
    </row>
    <row r="69" spans="2:17" hidden="1">
      <c r="B69" s="122">
        <f t="shared" si="13"/>
        <v>900000</v>
      </c>
      <c r="C69" s="82">
        <f t="shared" si="14"/>
        <v>21600</v>
      </c>
      <c r="D69" s="85">
        <f t="shared" si="15"/>
        <v>48000</v>
      </c>
      <c r="E69" s="123">
        <f t="shared" si="16"/>
        <v>25920</v>
      </c>
      <c r="F69" s="86">
        <f t="shared" si="17"/>
        <v>32850</v>
      </c>
      <c r="G69" s="86">
        <f>IF($B$8="Anexo IV",0,$B69*MOD/1.615*0.24)</f>
        <v>0</v>
      </c>
      <c r="H69" s="124">
        <f t="shared" si="19"/>
        <v>8.9300000000000004E-2</v>
      </c>
      <c r="I69" s="124">
        <f t="shared" si="19"/>
        <v>0.10929999999999999</v>
      </c>
      <c r="J69" s="125">
        <f t="shared" si="19"/>
        <v>0.1193</v>
      </c>
      <c r="K69" s="125">
        <f t="shared" si="19"/>
        <v>0.1293</v>
      </c>
      <c r="L69" s="126">
        <f t="shared" si="19"/>
        <v>0.13930000000000001</v>
      </c>
      <c r="M69" s="127">
        <f t="shared" si="20"/>
        <v>0.11863333333333333</v>
      </c>
      <c r="N69" s="127">
        <f t="shared" si="20"/>
        <v>0.13863333333333333</v>
      </c>
      <c r="O69" s="128">
        <f t="shared" si="20"/>
        <v>0.14863333333333334</v>
      </c>
      <c r="P69" s="128">
        <f t="shared" si="20"/>
        <v>0.15863333333333332</v>
      </c>
      <c r="Q69" s="129">
        <f t="shared" si="20"/>
        <v>0.16863333333333333</v>
      </c>
    </row>
    <row r="70" spans="2:17" hidden="1">
      <c r="B70" s="122">
        <f t="shared" si="13"/>
        <v>1080000</v>
      </c>
      <c r="C70" s="82">
        <f t="shared" si="14"/>
        <v>25920</v>
      </c>
      <c r="D70" s="85">
        <f t="shared" si="15"/>
        <v>62400</v>
      </c>
      <c r="E70" s="123">
        <f t="shared" si="16"/>
        <v>31104</v>
      </c>
      <c r="F70" s="86">
        <f t="shared" si="17"/>
        <v>39420</v>
      </c>
      <c r="G70" s="86">
        <f t="shared" si="18"/>
        <v>0</v>
      </c>
      <c r="H70" s="136">
        <f t="shared" si="19"/>
        <v>8.9300000000000004E-2</v>
      </c>
      <c r="I70" s="136">
        <f t="shared" si="19"/>
        <v>0.10929999999999999</v>
      </c>
      <c r="J70" s="137">
        <f t="shared" si="19"/>
        <v>0.1193</v>
      </c>
      <c r="K70" s="137">
        <f t="shared" si="19"/>
        <v>0.1293</v>
      </c>
      <c r="L70" s="138">
        <f t="shared" si="19"/>
        <v>0.13930000000000001</v>
      </c>
      <c r="M70" s="127">
        <f t="shared" si="20"/>
        <v>0.12307777777777777</v>
      </c>
      <c r="N70" s="133">
        <f t="shared" si="20"/>
        <v>0.14307777777777778</v>
      </c>
      <c r="O70" s="134">
        <f t="shared" si="20"/>
        <v>0.15307777777777778</v>
      </c>
      <c r="P70" s="134">
        <f t="shared" si="20"/>
        <v>0.16307777777777777</v>
      </c>
      <c r="Q70" s="135">
        <f t="shared" si="20"/>
        <v>0.17307777777777777</v>
      </c>
    </row>
    <row r="71" spans="2:17" hidden="1">
      <c r="B71" s="122">
        <f t="shared" si="13"/>
        <v>1260000</v>
      </c>
      <c r="C71" s="82">
        <f t="shared" si="14"/>
        <v>30240</v>
      </c>
      <c r="D71" s="85">
        <f t="shared" si="15"/>
        <v>76800</v>
      </c>
      <c r="E71" s="123">
        <f t="shared" si="16"/>
        <v>36288</v>
      </c>
      <c r="F71" s="86">
        <f t="shared" si="17"/>
        <v>45990</v>
      </c>
      <c r="G71" s="86">
        <f t="shared" si="18"/>
        <v>0</v>
      </c>
      <c r="H71" s="127">
        <f t="shared" si="19"/>
        <v>8.9300000000000004E-2</v>
      </c>
      <c r="I71" s="127">
        <f t="shared" si="19"/>
        <v>0.10929999999999999</v>
      </c>
      <c r="J71" s="128">
        <f t="shared" si="19"/>
        <v>0.1193</v>
      </c>
      <c r="K71" s="128">
        <f t="shared" si="19"/>
        <v>0.1293</v>
      </c>
      <c r="L71" s="129">
        <f t="shared" si="19"/>
        <v>0.13930000000000001</v>
      </c>
      <c r="M71" s="127">
        <f t="shared" si="20"/>
        <v>0.12625238095238095</v>
      </c>
      <c r="N71" s="127">
        <f t="shared" si="20"/>
        <v>0.14625238095238094</v>
      </c>
      <c r="O71" s="128">
        <f t="shared" si="20"/>
        <v>0.15625238095238095</v>
      </c>
      <c r="P71" s="128">
        <f t="shared" si="20"/>
        <v>0.16625238095238096</v>
      </c>
      <c r="Q71" s="129">
        <f t="shared" si="20"/>
        <v>0.17625238095238097</v>
      </c>
    </row>
    <row r="72" spans="2:17" hidden="1">
      <c r="B72" s="122">
        <f t="shared" si="13"/>
        <v>1440000</v>
      </c>
      <c r="C72" s="82">
        <f t="shared" si="14"/>
        <v>34560</v>
      </c>
      <c r="D72" s="85">
        <f t="shared" si="15"/>
        <v>91200</v>
      </c>
      <c r="E72" s="123">
        <f t="shared" si="16"/>
        <v>41472</v>
      </c>
      <c r="F72" s="86">
        <f t="shared" si="17"/>
        <v>52560</v>
      </c>
      <c r="G72" s="86">
        <f t="shared" si="18"/>
        <v>0</v>
      </c>
      <c r="H72" s="136">
        <f t="shared" si="19"/>
        <v>8.9300000000000004E-2</v>
      </c>
      <c r="I72" s="136">
        <f t="shared" si="19"/>
        <v>0.10929999999999999</v>
      </c>
      <c r="J72" s="137">
        <f t="shared" si="19"/>
        <v>0.1193</v>
      </c>
      <c r="K72" s="137">
        <f t="shared" si="19"/>
        <v>0.1293</v>
      </c>
      <c r="L72" s="138">
        <f t="shared" si="19"/>
        <v>0.13930000000000001</v>
      </c>
      <c r="M72" s="127">
        <f t="shared" si="20"/>
        <v>0.12863333333333332</v>
      </c>
      <c r="N72" s="133">
        <f t="shared" si="20"/>
        <v>0.14863333333333334</v>
      </c>
      <c r="O72" s="134">
        <f t="shared" si="20"/>
        <v>0.15863333333333332</v>
      </c>
      <c r="P72" s="134">
        <f t="shared" si="20"/>
        <v>0.16863333333333333</v>
      </c>
      <c r="Q72" s="135">
        <f t="shared" si="20"/>
        <v>0.17863333333333334</v>
      </c>
    </row>
    <row r="73" spans="2:17" hidden="1">
      <c r="B73" s="122">
        <f t="shared" si="13"/>
        <v>1620000</v>
      </c>
      <c r="C73" s="82">
        <f t="shared" si="14"/>
        <v>40800</v>
      </c>
      <c r="D73" s="85">
        <f t="shared" si="15"/>
        <v>105600</v>
      </c>
      <c r="E73" s="123">
        <f t="shared" si="16"/>
        <v>46656</v>
      </c>
      <c r="F73" s="86">
        <f t="shared" si="17"/>
        <v>59129.999999999993</v>
      </c>
      <c r="G73" s="86">
        <f t="shared" si="18"/>
        <v>0</v>
      </c>
      <c r="H73" s="127">
        <f t="shared" si="19"/>
        <v>9.0485185185185182E-2</v>
      </c>
      <c r="I73" s="127">
        <f t="shared" si="19"/>
        <v>0.11048518518518519</v>
      </c>
      <c r="J73" s="128">
        <f t="shared" si="19"/>
        <v>0.12048518518518518</v>
      </c>
      <c r="K73" s="128">
        <f t="shared" si="19"/>
        <v>0.13048518518518518</v>
      </c>
      <c r="L73" s="129">
        <f t="shared" si="19"/>
        <v>0.14048518518518519</v>
      </c>
      <c r="M73" s="127">
        <f t="shared" si="20"/>
        <v>0.13048518518518518</v>
      </c>
      <c r="N73" s="127">
        <f t="shared" si="20"/>
        <v>0.15048518518518519</v>
      </c>
      <c r="O73" s="128">
        <f t="shared" si="20"/>
        <v>0.16048518518518518</v>
      </c>
      <c r="P73" s="128">
        <f t="shared" si="20"/>
        <v>0.17048518518518518</v>
      </c>
      <c r="Q73" s="129">
        <f t="shared" si="20"/>
        <v>0.18048518518518519</v>
      </c>
    </row>
    <row r="74" spans="2:17" hidden="1">
      <c r="B74" s="122">
        <f t="shared" si="13"/>
        <v>1800000</v>
      </c>
      <c r="C74" s="82">
        <f t="shared" si="14"/>
        <v>48000</v>
      </c>
      <c r="D74" s="85">
        <f t="shared" si="15"/>
        <v>120000</v>
      </c>
      <c r="E74" s="123">
        <f t="shared" si="16"/>
        <v>51840</v>
      </c>
      <c r="F74" s="86">
        <f t="shared" si="17"/>
        <v>65700</v>
      </c>
      <c r="G74" s="86">
        <f t="shared" si="18"/>
        <v>0</v>
      </c>
      <c r="H74" s="136">
        <f t="shared" si="19"/>
        <v>9.1966666666666669E-2</v>
      </c>
      <c r="I74" s="136">
        <f t="shared" si="19"/>
        <v>0.11196666666666667</v>
      </c>
      <c r="J74" s="137">
        <f t="shared" si="19"/>
        <v>0.12196666666666667</v>
      </c>
      <c r="K74" s="137">
        <f t="shared" si="19"/>
        <v>0.13196666666666668</v>
      </c>
      <c r="L74" s="138">
        <f t="shared" si="19"/>
        <v>0.14196666666666666</v>
      </c>
      <c r="M74" s="127">
        <f t="shared" si="20"/>
        <v>0.13196666666666668</v>
      </c>
      <c r="N74" s="133">
        <f t="shared" si="20"/>
        <v>0.15196666666666667</v>
      </c>
      <c r="O74" s="134">
        <f t="shared" si="20"/>
        <v>0.16196666666666668</v>
      </c>
      <c r="P74" s="134">
        <f t="shared" si="20"/>
        <v>0.17196666666666666</v>
      </c>
      <c r="Q74" s="135">
        <f t="shared" si="20"/>
        <v>0.18196666666666667</v>
      </c>
    </row>
    <row r="75" spans="2:17" hidden="1">
      <c r="B75" s="122">
        <f t="shared" si="13"/>
        <v>1980000</v>
      </c>
      <c r="C75" s="82">
        <f t="shared" si="14"/>
        <v>55200</v>
      </c>
      <c r="D75" s="85">
        <f t="shared" si="15"/>
        <v>134400</v>
      </c>
      <c r="E75" s="123">
        <f t="shared" si="16"/>
        <v>57024</v>
      </c>
      <c r="F75" s="86">
        <f t="shared" si="17"/>
        <v>72270</v>
      </c>
      <c r="G75" s="86">
        <f t="shared" si="18"/>
        <v>0</v>
      </c>
      <c r="H75" s="127">
        <f t="shared" ref="H75:L84" si="21">(($B75*(RIGHT(H$64,2))+$C75+$E75+$F75+$G75)/$B75)</f>
        <v>9.3178787878787875E-2</v>
      </c>
      <c r="I75" s="127">
        <f t="shared" si="21"/>
        <v>0.11317878787878788</v>
      </c>
      <c r="J75" s="128">
        <f t="shared" si="21"/>
        <v>0.12317878787878787</v>
      </c>
      <c r="K75" s="128">
        <f t="shared" si="21"/>
        <v>0.13317878787878787</v>
      </c>
      <c r="L75" s="129">
        <f t="shared" si="21"/>
        <v>0.14317878787878788</v>
      </c>
      <c r="M75" s="127">
        <f t="shared" ref="M75:Q84" si="22">(($B75*(RIGHT(M$64,2))+$D75+$E75+$F75+$G75)/$B75)</f>
        <v>0.13317878787878787</v>
      </c>
      <c r="N75" s="127">
        <f t="shared" si="22"/>
        <v>0.15317878787878789</v>
      </c>
      <c r="O75" s="128">
        <f t="shared" si="22"/>
        <v>0.16317878787878787</v>
      </c>
      <c r="P75" s="128">
        <f t="shared" si="22"/>
        <v>0.17317878787878788</v>
      </c>
      <c r="Q75" s="129">
        <f t="shared" si="22"/>
        <v>0.18317878787878789</v>
      </c>
    </row>
    <row r="76" spans="2:17" hidden="1">
      <c r="B76" s="122">
        <f t="shared" si="13"/>
        <v>2160000</v>
      </c>
      <c r="C76" s="82">
        <f t="shared" si="14"/>
        <v>62400</v>
      </c>
      <c r="D76" s="85">
        <f t="shared" si="15"/>
        <v>148800</v>
      </c>
      <c r="E76" s="123">
        <f t="shared" si="16"/>
        <v>62208</v>
      </c>
      <c r="F76" s="86">
        <f t="shared" si="17"/>
        <v>78840</v>
      </c>
      <c r="G76" s="86">
        <f t="shared" si="18"/>
        <v>0</v>
      </c>
      <c r="H76" s="136">
        <f t="shared" si="21"/>
        <v>9.4188888888888891E-2</v>
      </c>
      <c r="I76" s="136">
        <f t="shared" si="21"/>
        <v>0.1141888888888889</v>
      </c>
      <c r="J76" s="137">
        <f t="shared" si="21"/>
        <v>0.12418888888888889</v>
      </c>
      <c r="K76" s="137">
        <f t="shared" si="21"/>
        <v>0.13418888888888889</v>
      </c>
      <c r="L76" s="138">
        <f t="shared" si="21"/>
        <v>0.14418888888888889</v>
      </c>
      <c r="M76" s="127">
        <f t="shared" si="22"/>
        <v>0.13418888888888889</v>
      </c>
      <c r="N76" s="133">
        <f t="shared" si="22"/>
        <v>0.15418888888888888</v>
      </c>
      <c r="O76" s="134">
        <f t="shared" si="22"/>
        <v>0.16418888888888888</v>
      </c>
      <c r="P76" s="134">
        <f t="shared" si="22"/>
        <v>0.17418888888888889</v>
      </c>
      <c r="Q76" s="135">
        <f t="shared" si="22"/>
        <v>0.1841888888888889</v>
      </c>
    </row>
    <row r="77" spans="2:17" hidden="1">
      <c r="B77" s="122">
        <f t="shared" si="13"/>
        <v>2340000</v>
      </c>
      <c r="C77" s="82">
        <f t="shared" si="14"/>
        <v>69600</v>
      </c>
      <c r="D77" s="85">
        <f t="shared" si="15"/>
        <v>163200</v>
      </c>
      <c r="E77" s="123">
        <f t="shared" si="16"/>
        <v>67392</v>
      </c>
      <c r="F77" s="86">
        <f t="shared" si="17"/>
        <v>85410</v>
      </c>
      <c r="G77" s="86">
        <f t="shared" si="18"/>
        <v>0</v>
      </c>
      <c r="H77" s="127">
        <f t="shared" si="21"/>
        <v>9.5043589743589743E-2</v>
      </c>
      <c r="I77" s="127">
        <f t="shared" si="21"/>
        <v>0.11504358974358975</v>
      </c>
      <c r="J77" s="128">
        <f t="shared" si="21"/>
        <v>0.12504358974358976</v>
      </c>
      <c r="K77" s="128">
        <f t="shared" si="21"/>
        <v>0.13504358974358974</v>
      </c>
      <c r="L77" s="129">
        <f t="shared" si="21"/>
        <v>0.14504358974358975</v>
      </c>
      <c r="M77" s="127">
        <f t="shared" si="22"/>
        <v>0.13504358974358974</v>
      </c>
      <c r="N77" s="127">
        <f t="shared" si="22"/>
        <v>0.15504358974358975</v>
      </c>
      <c r="O77" s="128">
        <f t="shared" si="22"/>
        <v>0.16504358974358974</v>
      </c>
      <c r="P77" s="128">
        <f t="shared" si="22"/>
        <v>0.17504358974358974</v>
      </c>
      <c r="Q77" s="129">
        <f t="shared" si="22"/>
        <v>0.18504358974358975</v>
      </c>
    </row>
    <row r="78" spans="2:17" hidden="1">
      <c r="B78" s="122">
        <f t="shared" si="13"/>
        <v>2520000</v>
      </c>
      <c r="C78" s="82">
        <f t="shared" si="14"/>
        <v>76800</v>
      </c>
      <c r="D78" s="85">
        <f t="shared" si="15"/>
        <v>177600</v>
      </c>
      <c r="E78" s="123">
        <f t="shared" si="16"/>
        <v>72576</v>
      </c>
      <c r="F78" s="86">
        <f t="shared" si="17"/>
        <v>91980</v>
      </c>
      <c r="G78" s="86">
        <f t="shared" si="18"/>
        <v>0</v>
      </c>
      <c r="H78" s="136">
        <f t="shared" si="21"/>
        <v>9.5776190476190473E-2</v>
      </c>
      <c r="I78" s="136">
        <f t="shared" si="21"/>
        <v>0.11577619047619048</v>
      </c>
      <c r="J78" s="137">
        <f t="shared" si="21"/>
        <v>0.12577619047619049</v>
      </c>
      <c r="K78" s="137">
        <f t="shared" si="21"/>
        <v>0.13577619047619047</v>
      </c>
      <c r="L78" s="138">
        <f t="shared" si="21"/>
        <v>0.14577619047619048</v>
      </c>
      <c r="M78" s="127">
        <f t="shared" si="22"/>
        <v>0.13577619047619047</v>
      </c>
      <c r="N78" s="133">
        <f t="shared" si="22"/>
        <v>0.15577619047619048</v>
      </c>
      <c r="O78" s="134">
        <f t="shared" si="22"/>
        <v>0.16577619047619047</v>
      </c>
      <c r="P78" s="134">
        <f t="shared" si="22"/>
        <v>0.17577619047619047</v>
      </c>
      <c r="Q78" s="135">
        <f t="shared" si="22"/>
        <v>0.18577619047619048</v>
      </c>
    </row>
    <row r="79" spans="2:17" hidden="1">
      <c r="B79" s="122">
        <f t="shared" si="13"/>
        <v>2700000</v>
      </c>
      <c r="C79" s="82">
        <f t="shared" si="14"/>
        <v>84000</v>
      </c>
      <c r="D79" s="85">
        <f t="shared" si="15"/>
        <v>192000</v>
      </c>
      <c r="E79" s="123">
        <f t="shared" si="16"/>
        <v>77760</v>
      </c>
      <c r="F79" s="86">
        <f t="shared" si="17"/>
        <v>98550</v>
      </c>
      <c r="G79" s="86">
        <f t="shared" si="18"/>
        <v>0</v>
      </c>
      <c r="H79" s="127">
        <f t="shared" si="21"/>
        <v>9.6411111111111114E-2</v>
      </c>
      <c r="I79" s="127">
        <f t="shared" si="21"/>
        <v>0.11641111111111112</v>
      </c>
      <c r="J79" s="128">
        <f t="shared" si="21"/>
        <v>0.12641111111111111</v>
      </c>
      <c r="K79" s="128">
        <f t="shared" si="21"/>
        <v>0.13641111111111112</v>
      </c>
      <c r="L79" s="129">
        <f t="shared" si="21"/>
        <v>0.1464111111111111</v>
      </c>
      <c r="M79" s="127">
        <f t="shared" si="22"/>
        <v>0.13641111111111112</v>
      </c>
      <c r="N79" s="127">
        <f t="shared" si="22"/>
        <v>0.15641111111111111</v>
      </c>
      <c r="O79" s="128">
        <f t="shared" si="22"/>
        <v>0.16641111111111112</v>
      </c>
      <c r="P79" s="128">
        <f t="shared" si="22"/>
        <v>0.1764111111111111</v>
      </c>
      <c r="Q79" s="129">
        <f t="shared" si="22"/>
        <v>0.18641111111111111</v>
      </c>
    </row>
    <row r="80" spans="2:17" hidden="1">
      <c r="B80" s="122">
        <f t="shared" si="13"/>
        <v>2880000</v>
      </c>
      <c r="C80" s="82">
        <f t="shared" si="14"/>
        <v>91200</v>
      </c>
      <c r="D80" s="85">
        <f t="shared" si="15"/>
        <v>206400</v>
      </c>
      <c r="E80" s="123">
        <f t="shared" si="16"/>
        <v>82944</v>
      </c>
      <c r="F80" s="86">
        <f t="shared" si="17"/>
        <v>105120</v>
      </c>
      <c r="G80" s="86">
        <f t="shared" si="18"/>
        <v>0</v>
      </c>
      <c r="H80" s="136">
        <f t="shared" si="21"/>
        <v>9.6966666666666673E-2</v>
      </c>
      <c r="I80" s="136">
        <f t="shared" si="21"/>
        <v>0.11696666666666666</v>
      </c>
      <c r="J80" s="137">
        <f t="shared" si="21"/>
        <v>0.12696666666666667</v>
      </c>
      <c r="K80" s="137">
        <f t="shared" si="21"/>
        <v>0.13696666666666665</v>
      </c>
      <c r="L80" s="138">
        <f t="shared" si="21"/>
        <v>0.14696666666666666</v>
      </c>
      <c r="M80" s="127">
        <f t="shared" si="22"/>
        <v>0.13696666666666665</v>
      </c>
      <c r="N80" s="133">
        <f t="shared" si="22"/>
        <v>0.15696666666666667</v>
      </c>
      <c r="O80" s="134">
        <f t="shared" si="22"/>
        <v>0.16696666666666668</v>
      </c>
      <c r="P80" s="134">
        <f t="shared" si="22"/>
        <v>0.17696666666666666</v>
      </c>
      <c r="Q80" s="135">
        <f t="shared" si="22"/>
        <v>0.18696666666666667</v>
      </c>
    </row>
    <row r="81" spans="2:17" hidden="1">
      <c r="B81" s="122">
        <f t="shared" si="13"/>
        <v>3060000</v>
      </c>
      <c r="C81" s="82">
        <f t="shared" si="14"/>
        <v>98400</v>
      </c>
      <c r="D81" s="85">
        <f t="shared" si="15"/>
        <v>220800</v>
      </c>
      <c r="E81" s="123">
        <f t="shared" si="16"/>
        <v>88128</v>
      </c>
      <c r="F81" s="86">
        <f t="shared" si="17"/>
        <v>111690</v>
      </c>
      <c r="G81" s="86">
        <f t="shared" si="18"/>
        <v>0</v>
      </c>
      <c r="H81" s="127">
        <f t="shared" si="21"/>
        <v>9.7456862745098044E-2</v>
      </c>
      <c r="I81" s="127">
        <f t="shared" si="21"/>
        <v>0.11745686274509803</v>
      </c>
      <c r="J81" s="128">
        <f t="shared" si="21"/>
        <v>0.12745686274509804</v>
      </c>
      <c r="K81" s="128">
        <f t="shared" si="21"/>
        <v>0.13745686274509805</v>
      </c>
      <c r="L81" s="129">
        <f t="shared" si="21"/>
        <v>0.14745686274509803</v>
      </c>
      <c r="M81" s="127">
        <f t="shared" si="22"/>
        <v>0.13745686274509805</v>
      </c>
      <c r="N81" s="127">
        <f t="shared" si="22"/>
        <v>0.15745686274509804</v>
      </c>
      <c r="O81" s="128">
        <f t="shared" si="22"/>
        <v>0.16745686274509805</v>
      </c>
      <c r="P81" s="128">
        <f t="shared" si="22"/>
        <v>0.17745686274509803</v>
      </c>
      <c r="Q81" s="129">
        <f t="shared" si="22"/>
        <v>0.18745686274509804</v>
      </c>
    </row>
    <row r="82" spans="2:17" hidden="1">
      <c r="B82" s="122">
        <f t="shared" si="13"/>
        <v>3240000</v>
      </c>
      <c r="C82" s="82">
        <f t="shared" si="14"/>
        <v>105600</v>
      </c>
      <c r="D82" s="85">
        <f t="shared" si="15"/>
        <v>235200</v>
      </c>
      <c r="E82" s="123">
        <f t="shared" si="16"/>
        <v>93312</v>
      </c>
      <c r="F82" s="86">
        <f t="shared" si="17"/>
        <v>118259.99999999999</v>
      </c>
      <c r="G82" s="86">
        <f t="shared" si="18"/>
        <v>0</v>
      </c>
      <c r="H82" s="136">
        <f t="shared" si="21"/>
        <v>9.7892592592592587E-2</v>
      </c>
      <c r="I82" s="136">
        <f t="shared" si="21"/>
        <v>0.11789259259259259</v>
      </c>
      <c r="J82" s="137">
        <f t="shared" si="21"/>
        <v>0.12789259259259259</v>
      </c>
      <c r="K82" s="137">
        <f t="shared" si="21"/>
        <v>0.13789259259259259</v>
      </c>
      <c r="L82" s="138">
        <f t="shared" si="21"/>
        <v>0.1478925925925926</v>
      </c>
      <c r="M82" s="127">
        <f t="shared" si="22"/>
        <v>0.13789259259259259</v>
      </c>
      <c r="N82" s="133">
        <f t="shared" si="22"/>
        <v>0.15789259259259258</v>
      </c>
      <c r="O82" s="134">
        <f t="shared" si="22"/>
        <v>0.16789259259259259</v>
      </c>
      <c r="P82" s="134">
        <f t="shared" si="22"/>
        <v>0.1778925925925926</v>
      </c>
      <c r="Q82" s="135">
        <f t="shared" si="22"/>
        <v>0.18789259259259258</v>
      </c>
    </row>
    <row r="83" spans="2:17" hidden="1">
      <c r="B83" s="122">
        <f t="shared" si="13"/>
        <v>3420000</v>
      </c>
      <c r="C83" s="82">
        <f t="shared" si="14"/>
        <v>112800</v>
      </c>
      <c r="D83" s="85">
        <f t="shared" si="15"/>
        <v>249600</v>
      </c>
      <c r="E83" s="123">
        <f t="shared" si="16"/>
        <v>98496</v>
      </c>
      <c r="F83" s="86">
        <f t="shared" si="17"/>
        <v>124829.99999999999</v>
      </c>
      <c r="G83" s="86">
        <f t="shared" si="18"/>
        <v>0</v>
      </c>
      <c r="H83" s="127">
        <f t="shared" si="21"/>
        <v>9.8282456140350874E-2</v>
      </c>
      <c r="I83" s="127">
        <f t="shared" si="21"/>
        <v>0.11828245614035088</v>
      </c>
      <c r="J83" s="128">
        <f t="shared" si="21"/>
        <v>0.12828245614035089</v>
      </c>
      <c r="K83" s="128">
        <f t="shared" si="21"/>
        <v>0.13828245614035087</v>
      </c>
      <c r="L83" s="129">
        <f t="shared" si="21"/>
        <v>0.14828245614035088</v>
      </c>
      <c r="M83" s="127">
        <f t="shared" si="22"/>
        <v>0.13828245614035087</v>
      </c>
      <c r="N83" s="127">
        <f t="shared" si="22"/>
        <v>0.15828245614035089</v>
      </c>
      <c r="O83" s="128">
        <f t="shared" si="22"/>
        <v>0.16828245614035087</v>
      </c>
      <c r="P83" s="128">
        <f t="shared" si="22"/>
        <v>0.17828245614035088</v>
      </c>
      <c r="Q83" s="129">
        <f t="shared" si="22"/>
        <v>0.18828245614035088</v>
      </c>
    </row>
    <row r="84" spans="2:17" ht="15.75" hidden="1" thickBot="1">
      <c r="B84" s="139">
        <f>B59</f>
        <v>3600000</v>
      </c>
      <c r="C84" s="93">
        <f t="shared" si="14"/>
        <v>120000</v>
      </c>
      <c r="D84" s="96">
        <f t="shared" si="15"/>
        <v>264000</v>
      </c>
      <c r="E84" s="140">
        <f t="shared" si="16"/>
        <v>103680</v>
      </c>
      <c r="F84" s="141">
        <f t="shared" si="17"/>
        <v>131400</v>
      </c>
      <c r="G84" s="86">
        <f t="shared" si="18"/>
        <v>0</v>
      </c>
      <c r="H84" s="142">
        <f t="shared" si="21"/>
        <v>9.8633333333333337E-2</v>
      </c>
      <c r="I84" s="142">
        <f t="shared" si="21"/>
        <v>0.11863333333333333</v>
      </c>
      <c r="J84" s="143">
        <f t="shared" si="21"/>
        <v>0.12863333333333332</v>
      </c>
      <c r="K84" s="143">
        <f t="shared" si="21"/>
        <v>0.13863333333333333</v>
      </c>
      <c r="L84" s="144">
        <f t="shared" si="21"/>
        <v>0.14863333333333334</v>
      </c>
      <c r="M84" s="127">
        <f t="shared" si="22"/>
        <v>0.13863333333333333</v>
      </c>
      <c r="N84" s="145">
        <f t="shared" si="22"/>
        <v>0.15863333333333332</v>
      </c>
      <c r="O84" s="146">
        <f t="shared" si="22"/>
        <v>0.16863333333333333</v>
      </c>
      <c r="P84" s="146">
        <f t="shared" si="22"/>
        <v>0.17863333333333334</v>
      </c>
      <c r="Q84" s="147">
        <f t="shared" si="22"/>
        <v>0.18863333333333332</v>
      </c>
    </row>
    <row r="85" spans="2:17" hidden="1">
      <c r="D85" s="57" t="s">
        <v>1</v>
      </c>
      <c r="E85" s="57" t="s">
        <v>1</v>
      </c>
      <c r="F85" s="57" t="s">
        <v>1</v>
      </c>
      <c r="G85" s="57" t="s">
        <v>1</v>
      </c>
      <c r="H85" s="57" t="s">
        <v>1</v>
      </c>
      <c r="I85" s="57" t="s">
        <v>1</v>
      </c>
      <c r="J85" s="57" t="s">
        <v>1</v>
      </c>
    </row>
    <row r="86" spans="2:17" ht="29.25" customHeight="1">
      <c r="B86" s="158" t="s">
        <v>180</v>
      </c>
      <c r="C86" s="158"/>
      <c r="D86" s="158"/>
      <c r="E86" s="158"/>
      <c r="F86" s="158"/>
    </row>
    <row r="87" spans="2:17" ht="29.25" customHeight="1">
      <c r="B87" s="158" t="s">
        <v>181</v>
      </c>
      <c r="C87" s="158"/>
      <c r="D87" s="158"/>
      <c r="E87" s="158"/>
      <c r="F87" s="158"/>
    </row>
    <row r="88" spans="2:17" ht="29.25" customHeight="1">
      <c r="B88" s="158" t="s">
        <v>186</v>
      </c>
      <c r="C88" s="158"/>
      <c r="D88" s="158"/>
      <c r="E88" s="158"/>
      <c r="F88" s="158"/>
    </row>
    <row r="89" spans="2:17" ht="29.25" customHeight="1">
      <c r="B89" s="158" t="s">
        <v>185</v>
      </c>
      <c r="C89" s="158"/>
      <c r="D89" s="158"/>
      <c r="E89" s="158"/>
      <c r="F89" s="158"/>
    </row>
    <row r="90" spans="2:17" ht="29.25" customHeight="1">
      <c r="B90" s="158" t="s">
        <v>188</v>
      </c>
      <c r="C90" s="158"/>
      <c r="D90" s="158"/>
      <c r="E90" s="158"/>
      <c r="F90" s="158"/>
    </row>
  </sheetData>
  <sheetProtection algorithmName="SHA-512" hashValue="VifjbvDgrsSTSeQiLf2BUmYOrF9VDEgN3CxMnlzmE3Hy0ZfQmB+3S4AU+7WQjztD0LlFsroQMOtVVFPc6nC3Zg==" saltValue="ob0TfPS/Ry8wto62hLidow==" spinCount="100000" sheet="1" objects="1" scenarios="1" selectLockedCells="1"/>
  <mergeCells count="11">
    <mergeCell ref="D4:F4"/>
    <mergeCell ref="B10:F10"/>
    <mergeCell ref="B6:B7"/>
    <mergeCell ref="F6:F7"/>
    <mergeCell ref="E6:E7"/>
    <mergeCell ref="C6:D6"/>
    <mergeCell ref="B86:F86"/>
    <mergeCell ref="B87:F87"/>
    <mergeCell ref="B88:F88"/>
    <mergeCell ref="B89:F89"/>
    <mergeCell ref="B90:F90"/>
  </mergeCells>
  <conditionalFormatting sqref="C12:F1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F13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F1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F1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F1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F1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F18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F1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F2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F2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F2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F2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F2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F2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F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F2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F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F2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:F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F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4">
    <dataValidation type="list" allowBlank="1" showInputMessage="1" showErrorMessage="1" promptTitle="Mensagem do IBPT" prompt="Selecione o anexo_x000a_Você não pode digitar diretamente. Precisa clicar na célula." sqref="B8">
      <formula1>"Anexo I, Anexo II,Anexo III, Anexo IV, Anexo V, Anexo VI"</formula1>
    </dataValidation>
    <dataValidation type="list" allowBlank="1" showInputMessage="1" showErrorMessage="1" error="Você não pode digitar diretamente. Precisa clicar na célula." promptTitle="Mensagem do IBPT" prompt="Você não pode digitar diretamente. Precisa clicar no menu suspenso." sqref="D8">
      <formula1>"10%,15%,20%,25%,30%,35%,40%,45%,50%,55%,60%,65%,70%,75%,80%"</formula1>
    </dataValidation>
    <dataValidation type="list" allowBlank="1" showInputMessage="1" showErrorMessage="1" errorTitle="Mensagem do IBPT" error="Você não pode digitar diretamente. Precisa clicar na célula." promptTitle="Mensagem do IBPT" prompt="Indique a alíquota do ISS para a sua cidade._x000a_Ela será usada nos regimes tributários de lucro presumido e lucro real._x000a_Você não pode digitar diretamente. Precisa clicar na célula." sqref="E8">
      <formula1>"0%,2%,3%,4%,5%"</formula1>
    </dataValidation>
    <dataValidation type="list" allowBlank="1" showInputMessage="1" showErrorMessage="1" errorTitle="Mensagem do IBPT" error="Você não pode digitar diretamente. Precisa clicar na célula." promptTitle="Mensagem do IBPT" prompt="Você não pode digitar diretamente. Precisa clicar na célula." sqref="C8">
      <formula1>"10%,15%,20%,25%,30%,35%,40%,45%,50%,55%,60%,65%,70%,75%,80%"</formula1>
    </dataValidation>
  </dataValidations>
  <printOptions horizontalCentered="1"/>
  <pageMargins left="0" right="0" top="0" bottom="0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zoomScaleNormal="100" workbookViewId="0">
      <selection activeCell="D31" sqref="D31"/>
    </sheetView>
  </sheetViews>
  <sheetFormatPr defaultRowHeight="15"/>
  <cols>
    <col min="2" max="2" width="17.28515625" customWidth="1"/>
    <col min="3" max="3" width="9.85546875" customWidth="1"/>
    <col min="4" max="4" width="12.42578125" customWidth="1"/>
  </cols>
  <sheetData>
    <row r="1" spans="2:17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</row>
    <row r="2" spans="2:17" ht="15.75">
      <c r="B2" s="2" t="s">
        <v>30</v>
      </c>
      <c r="C2" s="2"/>
      <c r="D2" s="2"/>
    </row>
    <row r="3" spans="2:17">
      <c r="B3" s="3" t="s">
        <v>32</v>
      </c>
      <c r="C3" s="3"/>
      <c r="D3" s="3"/>
      <c r="Q3" s="36" t="s">
        <v>174</v>
      </c>
    </row>
    <row r="4" spans="2:17">
      <c r="B4" s="3" t="s">
        <v>33</v>
      </c>
      <c r="C4" s="3"/>
      <c r="D4" s="3"/>
    </row>
    <row r="5" spans="2:17">
      <c r="B5" s="167" t="s">
        <v>34</v>
      </c>
      <c r="C5" s="167" t="s">
        <v>123</v>
      </c>
      <c r="D5" s="167" t="s">
        <v>122</v>
      </c>
      <c r="E5" s="167" t="s">
        <v>35</v>
      </c>
      <c r="F5" s="167" t="s">
        <v>36</v>
      </c>
      <c r="G5" s="167" t="s">
        <v>38</v>
      </c>
      <c r="H5" s="166" t="s">
        <v>37</v>
      </c>
      <c r="I5" s="166"/>
      <c r="J5" s="166"/>
      <c r="K5" s="166"/>
      <c r="L5" s="166"/>
      <c r="M5" s="166"/>
      <c r="N5" s="166"/>
      <c r="O5" s="166"/>
    </row>
    <row r="6" spans="2:17">
      <c r="B6" s="167"/>
      <c r="C6" s="167"/>
      <c r="D6" s="167"/>
      <c r="E6" s="167"/>
      <c r="F6" s="167"/>
      <c r="G6" s="167"/>
      <c r="H6" s="4">
        <v>0.1</v>
      </c>
      <c r="I6" s="5">
        <v>0.15</v>
      </c>
      <c r="J6" s="4">
        <v>0.2</v>
      </c>
      <c r="K6" s="5">
        <v>0.25</v>
      </c>
      <c r="L6" s="4">
        <v>0.3</v>
      </c>
      <c r="M6" s="5">
        <v>0.35</v>
      </c>
      <c r="N6" s="4">
        <v>0.4</v>
      </c>
      <c r="O6" s="5">
        <v>0.41</v>
      </c>
      <c r="Q6" t="s">
        <v>31</v>
      </c>
    </row>
    <row r="7" spans="2:17" ht="15.75">
      <c r="B7" s="6">
        <v>180000</v>
      </c>
      <c r="C7" s="28">
        <v>0.04</v>
      </c>
      <c r="D7" s="28">
        <v>4.4999999999999998E-2</v>
      </c>
      <c r="E7" s="7">
        <v>0.06</v>
      </c>
      <c r="F7" s="8">
        <v>4.4999999999999998E-2</v>
      </c>
      <c r="G7" s="8">
        <v>0.16929999999999998</v>
      </c>
      <c r="H7" s="9">
        <v>0.17499999999999999</v>
      </c>
      <c r="I7" s="9">
        <v>0.157</v>
      </c>
      <c r="J7" s="9">
        <v>0.13700000000000001</v>
      </c>
      <c r="K7" s="9">
        <v>0.1182</v>
      </c>
      <c r="L7" s="9">
        <v>0.1047</v>
      </c>
      <c r="M7" s="9">
        <v>9.9699999999999997E-2</v>
      </c>
      <c r="N7" s="9">
        <v>8.7999999999999995E-2</v>
      </c>
      <c r="O7" s="9">
        <v>0.08</v>
      </c>
      <c r="Q7" s="37">
        <f>IF(Simulação!$B$8="Anexo I",VLOOKUP(Simulação!$B12,Tabelas!$B$7:$O$26,$C$1,FALSE),IF(Simulação!$B$8="Anexo II",VLOOKUP(Simulação!$B12,Tabelas!$B$7:$O$26,$D$1,FALSE),IF(Simulação!$B$8="Anexo VI",VLOOKUP(Simulação!$B12,Tabelas!$B$7:$O$26,$G$1,FALSE),IF(Simulação!$B$8="Anexo IV",VLOOKUP(Simulação!$B12,Tabelas!$B$7:$O$26,$F$1,FALSE),IF(Simulação!$B$8="Anexo III",VLOOKUP(Simulação!$B12,Tabelas!$B$7:$O$26,$E$1,FALSE),IF(AND(Simulação!$B$8="Anexo v",MOD&gt;=41%),VLOOKUP(Simulação!$B12,Tabelas!$B$7:$O$26,$O$1,FALSE),IF(AND(Simulação!$B$8="Anexo v",MOD=40%),VLOOKUP(Simulação!$B12,Tabelas!$B$7:$O$26,$N$1,FALSE),IF(AND(Simulação!$B$8="Anexo v",MOD=35%),VLOOKUP(Simulação!$B12,Tabelas!$B$7:$O$26,$M$1,FALSE),IF(AND(Simulação!$B$8="Anexo v",MOD=30%),VLOOKUP(Simulação!$B12,Tabelas!$B$7:$O$26,$L$1,FALSE),IF(AND(Simulação!$B$8="Anexo v",MOD=25%),VLOOKUP(Simulação!$B12,Tabelas!$B$7:$O$26,$K$1,FALSE),IF(AND(Simulação!$B$8="Anexo v",MOD=20%),VLOOKUP(Simulação!$B12,Tabelas!$B$7:$O$26,$J$1,FALSE),IF(AND(Simulação!$B$8="Anexo v",MOD=15%),VLOOKUP(Simulação!$B12,Tabelas!$B$7:$O$26,$I$1,FALSE),IF(AND(Simulação!$B$8="Anexo v",MOD&lt;=10%),VLOOKUP(Simulação!$B12,Tabelas!$B$7:$O$26,$H$1,FALSE)," ")))))))))))))</f>
        <v>4.4999999999999998E-2</v>
      </c>
    </row>
    <row r="8" spans="2:17" ht="15.75">
      <c r="B8" s="6">
        <v>360000</v>
      </c>
      <c r="C8" s="28">
        <v>5.4699999999999999E-2</v>
      </c>
      <c r="D8" s="28">
        <v>5.9700000000000003E-2</v>
      </c>
      <c r="E8" s="7">
        <v>8.2100000000000006E-2</v>
      </c>
      <c r="F8" s="8">
        <v>6.54E-2</v>
      </c>
      <c r="G8" s="8">
        <v>0.17719999999999997</v>
      </c>
      <c r="H8" s="9">
        <v>0.17519999999999999</v>
      </c>
      <c r="I8" s="9">
        <v>0.1575</v>
      </c>
      <c r="J8" s="9">
        <v>0.13900000000000001</v>
      </c>
      <c r="K8" s="9">
        <v>0.126</v>
      </c>
      <c r="L8" s="9">
        <v>0.12330000000000001</v>
      </c>
      <c r="M8" s="9">
        <v>0.1072</v>
      </c>
      <c r="N8" s="9">
        <v>9.0999999999999998E-2</v>
      </c>
      <c r="O8" s="9">
        <v>8.48E-2</v>
      </c>
      <c r="Q8" s="37">
        <f>IF(Simulação!$B$8="Anexo I",VLOOKUP(Simulação!$B13,Tabelas!$B$7:$O$26,$C$1,FALSE),IF(Simulação!$B$8="Anexo II",VLOOKUP(Simulação!$B13,Tabelas!$B$7:$O$26,$D$1,FALSE),IF(Simulação!$B$8="Anexo VI",VLOOKUP(Simulação!$B13,Tabelas!$B$7:$O$26,$G$1,FALSE),IF(Simulação!$B$8="Anexo IV",VLOOKUP(Simulação!$B13,Tabelas!$B$7:$O$26,$F$1,FALSE),IF(Simulação!$B$8="Anexo III",VLOOKUP(Simulação!$B13,Tabelas!$B$7:$O$26,$E$1,FALSE),IF(AND(Simulação!$B$8="Anexo v",MOD&gt;=41%),VLOOKUP(Simulação!$B13,Tabelas!$B$7:$O$26,$O$1,FALSE),IF(AND(Simulação!$B$8="Anexo v",MOD=40%),VLOOKUP(Simulação!$B13,Tabelas!$B$7:$O$26,$N$1,FALSE),IF(AND(Simulação!$B$8="Anexo v",MOD=35%),VLOOKUP(Simulação!$B13,Tabelas!$B$7:$O$26,$M$1,FALSE),IF(AND(Simulação!$B$8="Anexo v",MOD=30%),VLOOKUP(Simulação!$B13,Tabelas!$B$7:$O$26,$L$1,FALSE),IF(AND(Simulação!$B$8="Anexo v",MOD=25%),VLOOKUP(Simulação!$B13,Tabelas!$B$7:$O$26,$K$1,FALSE),IF(AND(Simulação!$B$8="Anexo v",MOD=20%),VLOOKUP(Simulação!$B13,Tabelas!$B$7:$O$26,$J$1,FALSE),IF(AND(Simulação!$B$8="Anexo v",MOD=15%),VLOOKUP(Simulação!$B13,Tabelas!$B$7:$O$26,$I$1,FALSE),IF(AND(Simulação!$B$8="Anexo v",MOD&lt;=10%),VLOOKUP(Simulação!$B13,Tabelas!$B$7:$O$26,$H$1,FALSE)," ")))))))))))))</f>
        <v>6.54E-2</v>
      </c>
    </row>
    <row r="9" spans="2:17" ht="15.75">
      <c r="B9" s="6">
        <v>540000</v>
      </c>
      <c r="C9" s="28">
        <v>6.8400000000000002E-2</v>
      </c>
      <c r="D9" s="28">
        <v>7.3400000000000007E-2</v>
      </c>
      <c r="E9" s="7">
        <v>0.1026</v>
      </c>
      <c r="F9" s="8">
        <v>7.6999999999999999E-2</v>
      </c>
      <c r="G9" s="8">
        <v>0.18429999999999999</v>
      </c>
      <c r="H9" s="9">
        <v>0.17549999999999999</v>
      </c>
      <c r="I9" s="9">
        <v>0.1595</v>
      </c>
      <c r="J9" s="9">
        <v>0.14199999999999999</v>
      </c>
      <c r="K9" s="9">
        <v>0.129</v>
      </c>
      <c r="L9" s="9">
        <v>0.12640000000000001</v>
      </c>
      <c r="M9" s="9">
        <v>0.1111</v>
      </c>
      <c r="N9" s="9">
        <v>9.5799999999999996E-2</v>
      </c>
      <c r="O9" s="9">
        <v>9.0300000000000005E-2</v>
      </c>
      <c r="Q9" s="37">
        <f>IF(Simulação!$B$8="Anexo I",VLOOKUP(Simulação!$B14,Tabelas!$B$7:$O$26,$C$1,FALSE),IF(Simulação!$B$8="Anexo II",VLOOKUP(Simulação!$B14,Tabelas!$B$7:$O$26,$D$1,FALSE),IF(Simulação!$B$8="Anexo VI",VLOOKUP(Simulação!$B14,Tabelas!$B$7:$O$26,$G$1,FALSE),IF(Simulação!$B$8="Anexo IV",VLOOKUP(Simulação!$B14,Tabelas!$B$7:$O$26,$F$1,FALSE),IF(Simulação!$B$8="Anexo III",VLOOKUP(Simulação!$B14,Tabelas!$B$7:$O$26,$E$1,FALSE),IF(AND(Simulação!$B$8="Anexo v",MOD&gt;=41%),VLOOKUP(Simulação!$B14,Tabelas!$B$7:$O$26,$O$1,FALSE),IF(AND(Simulação!$B$8="Anexo v",MOD=40%),VLOOKUP(Simulação!$B14,Tabelas!$B$7:$O$26,$N$1,FALSE),IF(AND(Simulação!$B$8="Anexo v",MOD=35%),VLOOKUP(Simulação!$B14,Tabelas!$B$7:$O$26,$M$1,FALSE),IF(AND(Simulação!$B$8="Anexo v",MOD=30%),VLOOKUP(Simulação!$B14,Tabelas!$B$7:$O$26,$L$1,FALSE),IF(AND(Simulação!$B$8="Anexo v",MOD=25%),VLOOKUP(Simulação!$B14,Tabelas!$B$7:$O$26,$K$1,FALSE),IF(AND(Simulação!$B$8="Anexo v",MOD=20%),VLOOKUP(Simulação!$B14,Tabelas!$B$7:$O$26,$J$1,FALSE),IF(AND(Simulação!$B$8="Anexo v",MOD=15%),VLOOKUP(Simulação!$B14,Tabelas!$B$7:$O$26,$I$1,FALSE),IF(AND(Simulação!$B$8="Anexo v",MOD&lt;=10%),VLOOKUP(Simulação!$B14,Tabelas!$B$7:$O$26,$H$1,FALSE)," ")))))))))))))</f>
        <v>7.6999999999999999E-2</v>
      </c>
    </row>
    <row r="10" spans="2:17" ht="15.75">
      <c r="B10" s="6">
        <v>720000</v>
      </c>
      <c r="C10" s="28">
        <v>7.5399999999999995E-2</v>
      </c>
      <c r="D10" s="28">
        <v>8.0399999999999999E-2</v>
      </c>
      <c r="E10" s="7">
        <v>0.11310000000000001</v>
      </c>
      <c r="F10" s="8">
        <v>8.4900000000000003E-2</v>
      </c>
      <c r="G10" s="8">
        <v>0.18769999999999998</v>
      </c>
      <c r="H10" s="9">
        <v>0.17949999999999999</v>
      </c>
      <c r="I10" s="9">
        <v>0.16700000000000001</v>
      </c>
      <c r="J10" s="9">
        <v>0.15</v>
      </c>
      <c r="K10" s="9">
        <v>0.13700000000000001</v>
      </c>
      <c r="L10" s="9">
        <v>0.13450000000000001</v>
      </c>
      <c r="M10" s="9">
        <v>0.12</v>
      </c>
      <c r="N10" s="9">
        <v>0.1056</v>
      </c>
      <c r="O10" s="9">
        <v>9.3399999999999997E-2</v>
      </c>
      <c r="Q10" s="37">
        <f>IF(Simulação!$B$8="Anexo I",VLOOKUP(Simulação!$B15,Tabelas!$B$7:$O$26,$C$1,FALSE),IF(Simulação!$B$8="Anexo II",VLOOKUP(Simulação!$B15,Tabelas!$B$7:$O$26,$D$1,FALSE),IF(Simulação!$B$8="Anexo VI",VLOOKUP(Simulação!$B15,Tabelas!$B$7:$O$26,$G$1,FALSE),IF(Simulação!$B$8="Anexo IV",VLOOKUP(Simulação!$B15,Tabelas!$B$7:$O$26,$F$1,FALSE),IF(Simulação!$B$8="Anexo III",VLOOKUP(Simulação!$B15,Tabelas!$B$7:$O$26,$E$1,FALSE),IF(AND(Simulação!$B$8="Anexo v",MOD&gt;=41%),VLOOKUP(Simulação!$B15,Tabelas!$B$7:$O$26,$O$1,FALSE),IF(AND(Simulação!$B$8="Anexo v",MOD=40%),VLOOKUP(Simulação!$B15,Tabelas!$B$7:$O$26,$N$1,FALSE),IF(AND(Simulação!$B$8="Anexo v",MOD=35%),VLOOKUP(Simulação!$B15,Tabelas!$B$7:$O$26,$M$1,FALSE),IF(AND(Simulação!$B$8="Anexo v",MOD=30%),VLOOKUP(Simulação!$B15,Tabelas!$B$7:$O$26,$L$1,FALSE),IF(AND(Simulação!$B$8="Anexo v",MOD=25%),VLOOKUP(Simulação!$B15,Tabelas!$B$7:$O$26,$K$1,FALSE),IF(AND(Simulação!$B$8="Anexo v",MOD=20%),VLOOKUP(Simulação!$B15,Tabelas!$B$7:$O$26,$J$1,FALSE),IF(AND(Simulação!$B$8="Anexo v",MOD=15%),VLOOKUP(Simulação!$B15,Tabelas!$B$7:$O$26,$I$1,FALSE),IF(AND(Simulação!$B$8="Anexo v",MOD&lt;=10%),VLOOKUP(Simulação!$B15,Tabelas!$B$7:$O$26,$H$1,FALSE)," ")))))))))))))</f>
        <v>8.4900000000000003E-2</v>
      </c>
    </row>
    <row r="11" spans="2:17" ht="15.75">
      <c r="B11" s="6">
        <v>900000</v>
      </c>
      <c r="C11" s="28">
        <v>7.5999999999999998E-2</v>
      </c>
      <c r="D11" s="28">
        <v>8.1000000000000003E-2</v>
      </c>
      <c r="E11" s="7">
        <v>0.114</v>
      </c>
      <c r="F11" s="8">
        <v>8.9700000000000002E-2</v>
      </c>
      <c r="G11" s="8">
        <v>0.19039999999999999</v>
      </c>
      <c r="H11" s="9">
        <v>0.18149999999999999</v>
      </c>
      <c r="I11" s="9">
        <v>0.16950000000000001</v>
      </c>
      <c r="J11" s="9">
        <v>0.153</v>
      </c>
      <c r="K11" s="9">
        <v>0.14030000000000001</v>
      </c>
      <c r="L11" s="9">
        <v>0.1353</v>
      </c>
      <c r="M11" s="9">
        <v>0.124</v>
      </c>
      <c r="N11" s="9">
        <v>0.1104</v>
      </c>
      <c r="O11" s="9">
        <v>0.10059999999999999</v>
      </c>
      <c r="Q11" s="37">
        <f>IF(Simulação!$B$8="Anexo I",VLOOKUP(Simulação!$B16,Tabelas!$B$7:$O$26,$C$1,FALSE),IF(Simulação!$B$8="Anexo II",VLOOKUP(Simulação!$B16,Tabelas!$B$7:$O$26,$D$1,FALSE),IF(Simulação!$B$8="Anexo VI",VLOOKUP(Simulação!$B16,Tabelas!$B$7:$O$26,$G$1,FALSE),IF(Simulação!$B$8="Anexo IV",VLOOKUP(Simulação!$B16,Tabelas!$B$7:$O$26,$F$1,FALSE),IF(Simulação!$B$8="Anexo III",VLOOKUP(Simulação!$B16,Tabelas!$B$7:$O$26,$E$1,FALSE),IF(AND(Simulação!$B$8="Anexo v",MOD&gt;=41%),VLOOKUP(Simulação!$B16,Tabelas!$B$7:$O$26,$O$1,FALSE),IF(AND(Simulação!$B$8="Anexo v",MOD=40%),VLOOKUP(Simulação!$B16,Tabelas!$B$7:$O$26,$N$1,FALSE),IF(AND(Simulação!$B$8="Anexo v",MOD=35%),VLOOKUP(Simulação!$B16,Tabelas!$B$7:$O$26,$M$1,FALSE),IF(AND(Simulação!$B$8="Anexo v",MOD=30%),VLOOKUP(Simulação!$B16,Tabelas!$B$7:$O$26,$L$1,FALSE),IF(AND(Simulação!$B$8="Anexo v",MOD=25%),VLOOKUP(Simulação!$B16,Tabelas!$B$7:$O$26,$K$1,FALSE),IF(AND(Simulação!$B$8="Anexo v",MOD=20%),VLOOKUP(Simulação!$B16,Tabelas!$B$7:$O$26,$J$1,FALSE),IF(AND(Simulação!$B$8="Anexo v",MOD=15%),VLOOKUP(Simulação!$B16,Tabelas!$B$7:$O$26,$I$1,FALSE),IF(AND(Simulação!$B$8="Anexo v",MOD&lt;=10%),VLOOKUP(Simulação!$B16,Tabelas!$B$7:$O$26,$H$1,FALSE)," ")))))))))))))</f>
        <v>8.9700000000000002E-2</v>
      </c>
    </row>
    <row r="12" spans="2:17" ht="15.75">
      <c r="B12" s="6">
        <v>1080000</v>
      </c>
      <c r="C12" s="28">
        <v>8.2799999999999999E-2</v>
      </c>
      <c r="D12" s="28">
        <v>8.7800000000000003E-2</v>
      </c>
      <c r="E12" s="7">
        <v>0.1242</v>
      </c>
      <c r="F12" s="8">
        <v>9.7799999999999998E-2</v>
      </c>
      <c r="G12" s="8">
        <v>0.19939999999999999</v>
      </c>
      <c r="H12" s="9">
        <v>0.1845</v>
      </c>
      <c r="I12" s="9">
        <v>0.17199999999999999</v>
      </c>
      <c r="J12" s="9">
        <v>0.154</v>
      </c>
      <c r="K12" s="9">
        <v>0.14099999999999999</v>
      </c>
      <c r="L12" s="9">
        <v>0.13600000000000001</v>
      </c>
      <c r="M12" s="9">
        <v>0.126</v>
      </c>
      <c r="N12" s="9">
        <v>0.11600000000000001</v>
      </c>
      <c r="O12" s="9">
        <v>0.106</v>
      </c>
      <c r="Q12" s="37">
        <f>IF(Simulação!$B$8="Anexo I",VLOOKUP(Simulação!$B17,Tabelas!$B$7:$O$26,$C$1,FALSE),IF(Simulação!$B$8="Anexo II",VLOOKUP(Simulação!$B17,Tabelas!$B$7:$O$26,$D$1,FALSE),IF(Simulação!$B$8="Anexo VI",VLOOKUP(Simulação!$B17,Tabelas!$B$7:$O$26,$G$1,FALSE),IF(Simulação!$B$8="Anexo IV",VLOOKUP(Simulação!$B17,Tabelas!$B$7:$O$26,$F$1,FALSE),IF(Simulação!$B$8="Anexo III",VLOOKUP(Simulação!$B17,Tabelas!$B$7:$O$26,$E$1,FALSE),IF(AND(Simulação!$B$8="Anexo v",MOD&gt;=41%),VLOOKUP(Simulação!$B17,Tabelas!$B$7:$O$26,$O$1,FALSE),IF(AND(Simulação!$B$8="Anexo v",MOD=40%),VLOOKUP(Simulação!$B17,Tabelas!$B$7:$O$26,$N$1,FALSE),IF(AND(Simulação!$B$8="Anexo v",MOD=35%),VLOOKUP(Simulação!$B17,Tabelas!$B$7:$O$26,$M$1,FALSE),IF(AND(Simulação!$B$8="Anexo v",MOD=30%),VLOOKUP(Simulação!$B17,Tabelas!$B$7:$O$26,$L$1,FALSE),IF(AND(Simulação!$B$8="Anexo v",MOD=25%),VLOOKUP(Simulação!$B17,Tabelas!$B$7:$O$26,$K$1,FALSE),IF(AND(Simulação!$B$8="Anexo v",MOD=20%),VLOOKUP(Simulação!$B17,Tabelas!$B$7:$O$26,$J$1,FALSE),IF(AND(Simulação!$B$8="Anexo v",MOD=15%),VLOOKUP(Simulação!$B17,Tabelas!$B$7:$O$26,$I$1,FALSE),IF(AND(Simulação!$B$8="Anexo v",MOD&lt;=10%),VLOOKUP(Simulação!$B17,Tabelas!$B$7:$O$26,$H$1,FALSE)," ")))))))))))))</f>
        <v>9.7799999999999998E-2</v>
      </c>
    </row>
    <row r="13" spans="2:17" ht="15.75">
      <c r="B13" s="6">
        <v>1260000</v>
      </c>
      <c r="C13" s="28">
        <v>8.3599999999999994E-2</v>
      </c>
      <c r="D13" s="28">
        <v>8.8599999999999998E-2</v>
      </c>
      <c r="E13" s="7">
        <v>0.12540000000000001</v>
      </c>
      <c r="F13" s="8">
        <v>0.1026</v>
      </c>
      <c r="G13" s="8">
        <v>0.2034</v>
      </c>
      <c r="H13" s="9">
        <v>0.1855</v>
      </c>
      <c r="I13" s="9">
        <v>0.17299999999999999</v>
      </c>
      <c r="J13" s="9">
        <v>0.155</v>
      </c>
      <c r="K13" s="9">
        <v>0.1411</v>
      </c>
      <c r="L13" s="9">
        <v>0.1368</v>
      </c>
      <c r="M13" s="9">
        <v>0.1268</v>
      </c>
      <c r="N13" s="9">
        <v>0.1168</v>
      </c>
      <c r="O13" s="9">
        <v>0.10680000000000001</v>
      </c>
      <c r="Q13" s="37">
        <f>IF(Simulação!$B$8="Anexo I",VLOOKUP(Simulação!$B18,Tabelas!$B$7:$O$26,$C$1,FALSE),IF(Simulação!$B$8="Anexo II",VLOOKUP(Simulação!$B18,Tabelas!$B$7:$O$26,$D$1,FALSE),IF(Simulação!$B$8="Anexo VI",VLOOKUP(Simulação!$B18,Tabelas!$B$7:$O$26,$G$1,FALSE),IF(Simulação!$B$8="Anexo IV",VLOOKUP(Simulação!$B18,Tabelas!$B$7:$O$26,$F$1,FALSE),IF(Simulação!$B$8="Anexo III",VLOOKUP(Simulação!$B18,Tabelas!$B$7:$O$26,$E$1,FALSE),IF(AND(Simulação!$B$8="Anexo v",MOD&gt;=41%),VLOOKUP(Simulação!$B18,Tabelas!$B$7:$O$26,$O$1,FALSE),IF(AND(Simulação!$B$8="Anexo v",MOD=40%),VLOOKUP(Simulação!$B18,Tabelas!$B$7:$O$26,$N$1,FALSE),IF(AND(Simulação!$B$8="Anexo v",MOD=35%),VLOOKUP(Simulação!$B18,Tabelas!$B$7:$O$26,$M$1,FALSE),IF(AND(Simulação!$B$8="Anexo v",MOD=30%),VLOOKUP(Simulação!$B18,Tabelas!$B$7:$O$26,$L$1,FALSE),IF(AND(Simulação!$B$8="Anexo v",MOD=25%),VLOOKUP(Simulação!$B18,Tabelas!$B$7:$O$26,$K$1,FALSE),IF(AND(Simulação!$B$8="Anexo v",MOD=20%),VLOOKUP(Simulação!$B18,Tabelas!$B$7:$O$26,$J$1,FALSE),IF(AND(Simulação!$B$8="Anexo v",MOD=15%),VLOOKUP(Simulação!$B18,Tabelas!$B$7:$O$26,$I$1,FALSE),IF(AND(Simulação!$B$8="Anexo v",MOD&lt;=10%),VLOOKUP(Simulação!$B18,Tabelas!$B$7:$O$26,$H$1,FALSE)," ")))))))))))))</f>
        <v>0.1026</v>
      </c>
    </row>
    <row r="14" spans="2:17" ht="15.75">
      <c r="B14" s="6">
        <v>1440000</v>
      </c>
      <c r="C14" s="28">
        <v>8.4500000000000006E-2</v>
      </c>
      <c r="D14" s="28">
        <v>8.9499999999999996E-2</v>
      </c>
      <c r="E14" s="7">
        <v>0.1268</v>
      </c>
      <c r="F14" s="8">
        <v>0.1076</v>
      </c>
      <c r="G14" s="8">
        <v>0.20660000000000001</v>
      </c>
      <c r="H14" s="9">
        <v>0.1862</v>
      </c>
      <c r="I14" s="9">
        <v>0.17319999999999999</v>
      </c>
      <c r="J14" s="9">
        <v>0.156</v>
      </c>
      <c r="K14" s="9">
        <v>0.14119999999999999</v>
      </c>
      <c r="L14" s="9">
        <v>0.13689999999999999</v>
      </c>
      <c r="M14" s="9">
        <v>0.12690000000000001</v>
      </c>
      <c r="N14" s="9">
        <v>0.1169</v>
      </c>
      <c r="O14" s="9">
        <v>0.1069</v>
      </c>
      <c r="Q14" s="37">
        <f>IF(Simulação!$B$8="Anexo I",VLOOKUP(Simulação!$B19,Tabelas!$B$7:$O$26,$C$1,FALSE),IF(Simulação!$B$8="Anexo II",VLOOKUP(Simulação!$B19,Tabelas!$B$7:$O$26,$D$1,FALSE),IF(Simulação!$B$8="Anexo VI",VLOOKUP(Simulação!$B19,Tabelas!$B$7:$O$26,$G$1,FALSE),IF(Simulação!$B$8="Anexo IV",VLOOKUP(Simulação!$B19,Tabelas!$B$7:$O$26,$F$1,FALSE),IF(Simulação!$B$8="Anexo III",VLOOKUP(Simulação!$B19,Tabelas!$B$7:$O$26,$E$1,FALSE),IF(AND(Simulação!$B$8="Anexo v",MOD&gt;=41%),VLOOKUP(Simulação!$B19,Tabelas!$B$7:$O$26,$O$1,FALSE),IF(AND(Simulação!$B$8="Anexo v",MOD=40%),VLOOKUP(Simulação!$B19,Tabelas!$B$7:$O$26,$N$1,FALSE),IF(AND(Simulação!$B$8="Anexo v",MOD=35%),VLOOKUP(Simulação!$B19,Tabelas!$B$7:$O$26,$M$1,FALSE),IF(AND(Simulação!$B$8="Anexo v",MOD=30%),VLOOKUP(Simulação!$B19,Tabelas!$B$7:$O$26,$L$1,FALSE),IF(AND(Simulação!$B$8="Anexo v",MOD=25%),VLOOKUP(Simulação!$B19,Tabelas!$B$7:$O$26,$K$1,FALSE),IF(AND(Simulação!$B$8="Anexo v",MOD=20%),VLOOKUP(Simulação!$B19,Tabelas!$B$7:$O$26,$J$1,FALSE),IF(AND(Simulação!$B$8="Anexo v",MOD=15%),VLOOKUP(Simulação!$B19,Tabelas!$B$7:$O$26,$I$1,FALSE),IF(AND(Simulação!$B$8="Anexo v",MOD&lt;=10%),VLOOKUP(Simulação!$B19,Tabelas!$B$7:$O$26,$H$1,FALSE)," ")))))))))))))</f>
        <v>0.1076</v>
      </c>
    </row>
    <row r="15" spans="2:17" ht="15.75">
      <c r="B15" s="6">
        <v>1620000</v>
      </c>
      <c r="C15" s="28">
        <v>9.0300000000000005E-2</v>
      </c>
      <c r="D15" s="28">
        <v>9.5299999999999996E-2</v>
      </c>
      <c r="E15" s="7">
        <v>0.13550000000000001</v>
      </c>
      <c r="F15" s="8">
        <v>0.11509999999999999</v>
      </c>
      <c r="G15" s="8">
        <v>0.2117</v>
      </c>
      <c r="H15" s="9">
        <v>0.18720000000000001</v>
      </c>
      <c r="I15" s="9">
        <v>0.17419999999999999</v>
      </c>
      <c r="J15" s="9">
        <v>0.157</v>
      </c>
      <c r="K15" s="9">
        <v>0.14130000000000001</v>
      </c>
      <c r="L15" s="9">
        <v>0.14080000000000001</v>
      </c>
      <c r="M15" s="9">
        <v>0.1308</v>
      </c>
      <c r="N15" s="9">
        <v>0.1208</v>
      </c>
      <c r="O15" s="9">
        <v>0.1108</v>
      </c>
      <c r="Q15" s="37">
        <f>IF(Simulação!$B$8="Anexo I",VLOOKUP(Simulação!$B20,Tabelas!$B$7:$O$26,$C$1,FALSE),IF(Simulação!$B$8="Anexo II",VLOOKUP(Simulação!$B20,Tabelas!$B$7:$O$26,$D$1,FALSE),IF(Simulação!$B$8="Anexo VI",VLOOKUP(Simulação!$B20,Tabelas!$B$7:$O$26,$G$1,FALSE),IF(Simulação!$B$8="Anexo IV",VLOOKUP(Simulação!$B20,Tabelas!$B$7:$O$26,$F$1,FALSE),IF(Simulação!$B$8="Anexo III",VLOOKUP(Simulação!$B20,Tabelas!$B$7:$O$26,$E$1,FALSE),IF(AND(Simulação!$B$8="Anexo v",MOD&gt;=41%),VLOOKUP(Simulação!$B20,Tabelas!$B$7:$O$26,$O$1,FALSE),IF(AND(Simulação!$B$8="Anexo v",MOD=40%),VLOOKUP(Simulação!$B20,Tabelas!$B$7:$O$26,$N$1,FALSE),IF(AND(Simulação!$B$8="Anexo v",MOD=35%),VLOOKUP(Simulação!$B20,Tabelas!$B$7:$O$26,$M$1,FALSE),IF(AND(Simulação!$B$8="Anexo v",MOD=30%),VLOOKUP(Simulação!$B20,Tabelas!$B$7:$O$26,$L$1,FALSE),IF(AND(Simulação!$B$8="Anexo v",MOD=25%),VLOOKUP(Simulação!$B20,Tabelas!$B$7:$O$26,$K$1,FALSE),IF(AND(Simulação!$B$8="Anexo v",MOD=20%),VLOOKUP(Simulação!$B20,Tabelas!$B$7:$O$26,$J$1,FALSE),IF(AND(Simulação!$B$8="Anexo v",MOD=15%),VLOOKUP(Simulação!$B20,Tabelas!$B$7:$O$26,$I$1,FALSE),IF(AND(Simulação!$B$8="Anexo v",MOD&lt;=10%),VLOOKUP(Simulação!$B20,Tabelas!$B$7:$O$26,$H$1,FALSE)," ")))))))))))))</f>
        <v>0.11509999999999999</v>
      </c>
    </row>
    <row r="16" spans="2:17" ht="15.75">
      <c r="B16" s="6">
        <v>1800000</v>
      </c>
      <c r="C16" s="28">
        <v>9.1200000000000003E-2</v>
      </c>
      <c r="D16" s="28">
        <v>9.6199999999999994E-2</v>
      </c>
      <c r="E16" s="7">
        <v>0.1368</v>
      </c>
      <c r="F16" s="8">
        <v>0.12</v>
      </c>
      <c r="G16" s="8">
        <v>0.21379999999999999</v>
      </c>
      <c r="H16" s="9">
        <v>0.18859999999999999</v>
      </c>
      <c r="I16" s="9">
        <v>0.17560000000000001</v>
      </c>
      <c r="J16" s="9">
        <v>0.158</v>
      </c>
      <c r="K16" s="9">
        <v>0.1414</v>
      </c>
      <c r="L16" s="9">
        <v>0.1409</v>
      </c>
      <c r="M16" s="9">
        <v>0.13089999999999999</v>
      </c>
      <c r="N16" s="9">
        <v>0.12089999999999999</v>
      </c>
      <c r="O16" s="9">
        <v>0.1109</v>
      </c>
      <c r="Q16" s="37">
        <f>IF(Simulação!$B$8="Anexo I",VLOOKUP(Simulação!$B21,Tabelas!$B$7:$O$26,$C$1,FALSE),IF(Simulação!$B$8="Anexo II",VLOOKUP(Simulação!$B21,Tabelas!$B$7:$O$26,$D$1,FALSE),IF(Simulação!$B$8="Anexo VI",VLOOKUP(Simulação!$B21,Tabelas!$B$7:$O$26,$G$1,FALSE),IF(Simulação!$B$8="Anexo IV",VLOOKUP(Simulação!$B21,Tabelas!$B$7:$O$26,$F$1,FALSE),IF(Simulação!$B$8="Anexo III",VLOOKUP(Simulação!$B21,Tabelas!$B$7:$O$26,$E$1,FALSE),IF(AND(Simulação!$B$8="Anexo v",MOD&gt;=41%),VLOOKUP(Simulação!$B21,Tabelas!$B$7:$O$26,$O$1,FALSE),IF(AND(Simulação!$B$8="Anexo v",MOD=40%),VLOOKUP(Simulação!$B21,Tabelas!$B$7:$O$26,$N$1,FALSE),IF(AND(Simulação!$B$8="Anexo v",MOD=35%),VLOOKUP(Simulação!$B21,Tabelas!$B$7:$O$26,$M$1,FALSE),IF(AND(Simulação!$B$8="Anexo v",MOD=30%),VLOOKUP(Simulação!$B21,Tabelas!$B$7:$O$26,$L$1,FALSE),IF(AND(Simulação!$B$8="Anexo v",MOD=25%),VLOOKUP(Simulação!$B21,Tabelas!$B$7:$O$26,$K$1,FALSE),IF(AND(Simulação!$B$8="Anexo v",MOD=20%),VLOOKUP(Simulação!$B21,Tabelas!$B$7:$O$26,$J$1,FALSE),IF(AND(Simulação!$B$8="Anexo v",MOD=15%),VLOOKUP(Simulação!$B21,Tabelas!$B$7:$O$26,$I$1,FALSE),IF(AND(Simulação!$B$8="Anexo v",MOD&lt;=10%),VLOOKUP(Simulação!$B21,Tabelas!$B$7:$O$26,$H$1,FALSE)," ")))))))))))))</f>
        <v>0.12</v>
      </c>
    </row>
    <row r="17" spans="2:17" ht="15.75">
      <c r="B17" s="6">
        <v>1980000</v>
      </c>
      <c r="C17" s="28">
        <v>9.9500000000000005E-2</v>
      </c>
      <c r="D17" s="28">
        <v>0.1045</v>
      </c>
      <c r="E17" s="7">
        <v>0.14929999999999999</v>
      </c>
      <c r="F17" s="8">
        <v>0.128</v>
      </c>
      <c r="G17" s="8">
        <v>0.21859999999999999</v>
      </c>
      <c r="H17" s="9">
        <v>0.18959999999999999</v>
      </c>
      <c r="I17" s="9">
        <v>0.17660000000000001</v>
      </c>
      <c r="J17" s="9">
        <v>0.159</v>
      </c>
      <c r="K17" s="9">
        <v>0.1449</v>
      </c>
      <c r="L17" s="9">
        <v>0.14449999999999999</v>
      </c>
      <c r="M17" s="9">
        <v>0.1361</v>
      </c>
      <c r="N17" s="9">
        <v>0.1278</v>
      </c>
      <c r="O17" s="9">
        <v>0.1187</v>
      </c>
      <c r="Q17" s="37">
        <f>IF(Simulação!$B$8="Anexo I",VLOOKUP(Simulação!$B22,Tabelas!$B$7:$O$26,$C$1,FALSE),IF(Simulação!$B$8="Anexo II",VLOOKUP(Simulação!$B22,Tabelas!$B$7:$O$26,$D$1,FALSE),IF(Simulação!$B$8="Anexo VI",VLOOKUP(Simulação!$B22,Tabelas!$B$7:$O$26,$G$1,FALSE),IF(Simulação!$B$8="Anexo IV",VLOOKUP(Simulação!$B22,Tabelas!$B$7:$O$26,$F$1,FALSE),IF(Simulação!$B$8="Anexo III",VLOOKUP(Simulação!$B22,Tabelas!$B$7:$O$26,$E$1,FALSE),IF(AND(Simulação!$B$8="Anexo v",MOD&gt;=41%),VLOOKUP(Simulação!$B22,Tabelas!$B$7:$O$26,$O$1,FALSE),IF(AND(Simulação!$B$8="Anexo v",MOD=40%),VLOOKUP(Simulação!$B22,Tabelas!$B$7:$O$26,$N$1,FALSE),IF(AND(Simulação!$B$8="Anexo v",MOD=35%),VLOOKUP(Simulação!$B22,Tabelas!$B$7:$O$26,$M$1,FALSE),IF(AND(Simulação!$B$8="Anexo v",MOD=30%),VLOOKUP(Simulação!$B22,Tabelas!$B$7:$O$26,$L$1,FALSE),IF(AND(Simulação!$B$8="Anexo v",MOD=25%),VLOOKUP(Simulação!$B22,Tabelas!$B$7:$O$26,$K$1,FALSE),IF(AND(Simulação!$B$8="Anexo v",MOD=20%),VLOOKUP(Simulação!$B22,Tabelas!$B$7:$O$26,$J$1,FALSE),IF(AND(Simulação!$B$8="Anexo v",MOD=15%),VLOOKUP(Simulação!$B22,Tabelas!$B$7:$O$26,$I$1,FALSE),IF(AND(Simulação!$B$8="Anexo v",MOD&lt;=10%),VLOOKUP(Simulação!$B22,Tabelas!$B$7:$O$26,$H$1,FALSE)," ")))))))))))))</f>
        <v>0.128</v>
      </c>
    </row>
    <row r="18" spans="2:17" ht="15.75">
      <c r="B18" s="6">
        <v>2160000</v>
      </c>
      <c r="C18" s="28">
        <v>0.1004</v>
      </c>
      <c r="D18" s="28">
        <v>0.10539999999999999</v>
      </c>
      <c r="E18" s="7">
        <v>0.15060000000000001</v>
      </c>
      <c r="F18" s="8">
        <v>0.13250000000000001</v>
      </c>
      <c r="G18" s="8">
        <v>0.21969999999999998</v>
      </c>
      <c r="H18" s="9">
        <v>0.19059999999999999</v>
      </c>
      <c r="I18" s="9">
        <v>0.17760000000000001</v>
      </c>
      <c r="J18" s="9">
        <v>0.16</v>
      </c>
      <c r="K18" s="9">
        <v>0.1467</v>
      </c>
      <c r="L18" s="9">
        <v>0.1464</v>
      </c>
      <c r="M18" s="9">
        <v>0.1389</v>
      </c>
      <c r="N18" s="9">
        <v>0.13150000000000001</v>
      </c>
      <c r="O18" s="9">
        <v>0.12280000000000001</v>
      </c>
      <c r="Q18" s="37">
        <f>IF(Simulação!$B$8="Anexo I",VLOOKUP(Simulação!$B23,Tabelas!$B$7:$O$26,$C$1,FALSE),IF(Simulação!$B$8="Anexo II",VLOOKUP(Simulação!$B23,Tabelas!$B$7:$O$26,$D$1,FALSE),IF(Simulação!$B$8="Anexo VI",VLOOKUP(Simulação!$B23,Tabelas!$B$7:$O$26,$G$1,FALSE),IF(Simulação!$B$8="Anexo IV",VLOOKUP(Simulação!$B23,Tabelas!$B$7:$O$26,$F$1,FALSE),IF(Simulação!$B$8="Anexo III",VLOOKUP(Simulação!$B23,Tabelas!$B$7:$O$26,$E$1,FALSE),IF(AND(Simulação!$B$8="Anexo v",MOD&gt;=41%),VLOOKUP(Simulação!$B23,Tabelas!$B$7:$O$26,$O$1,FALSE),IF(AND(Simulação!$B$8="Anexo v",MOD=40%),VLOOKUP(Simulação!$B23,Tabelas!$B$7:$O$26,$N$1,FALSE),IF(AND(Simulação!$B$8="Anexo v",MOD=35%),VLOOKUP(Simulação!$B23,Tabelas!$B$7:$O$26,$M$1,FALSE),IF(AND(Simulação!$B$8="Anexo v",MOD=30%),VLOOKUP(Simulação!$B23,Tabelas!$B$7:$O$26,$L$1,FALSE),IF(AND(Simulação!$B$8="Anexo v",MOD=25%),VLOOKUP(Simulação!$B23,Tabelas!$B$7:$O$26,$K$1,FALSE),IF(AND(Simulação!$B$8="Anexo v",MOD=20%),VLOOKUP(Simulação!$B23,Tabelas!$B$7:$O$26,$J$1,FALSE),IF(AND(Simulação!$B$8="Anexo v",MOD=15%),VLOOKUP(Simulação!$B23,Tabelas!$B$7:$O$26,$I$1,FALSE),IF(AND(Simulação!$B$8="Anexo v",MOD&lt;=10%),VLOOKUP(Simulação!$B23,Tabelas!$B$7:$O$26,$H$1,FALSE)," ")))))))))))))</f>
        <v>0.13250000000000001</v>
      </c>
    </row>
    <row r="19" spans="2:17" ht="15.75">
      <c r="B19" s="6">
        <v>2340000</v>
      </c>
      <c r="C19" s="28">
        <v>0.1013</v>
      </c>
      <c r="D19" s="28">
        <v>0.10630000000000001</v>
      </c>
      <c r="E19" s="7">
        <v>0.152</v>
      </c>
      <c r="F19" s="8">
        <v>0.13700000000000001</v>
      </c>
      <c r="G19" s="8">
        <v>0.22059999999999999</v>
      </c>
      <c r="H19" s="9">
        <v>0.19259999999999999</v>
      </c>
      <c r="I19" s="9">
        <v>0.17960000000000001</v>
      </c>
      <c r="J19" s="9">
        <v>0.16200000000000001</v>
      </c>
      <c r="K19" s="9">
        <v>0.14860000000000001</v>
      </c>
      <c r="L19" s="9">
        <v>0.1482</v>
      </c>
      <c r="M19" s="9">
        <v>0.14169999999999999</v>
      </c>
      <c r="N19" s="9">
        <v>0.1351</v>
      </c>
      <c r="O19" s="9">
        <v>0.1268</v>
      </c>
      <c r="Q19" s="37">
        <f>IF(Simulação!$B$8="Anexo I",VLOOKUP(Simulação!$B24,Tabelas!$B$7:$O$26,$C$1,FALSE),IF(Simulação!$B$8="Anexo II",VLOOKUP(Simulação!$B24,Tabelas!$B$7:$O$26,$D$1,FALSE),IF(Simulação!$B$8="Anexo VI",VLOOKUP(Simulação!$B24,Tabelas!$B$7:$O$26,$G$1,FALSE),IF(Simulação!$B$8="Anexo IV",VLOOKUP(Simulação!$B24,Tabelas!$B$7:$O$26,$F$1,FALSE),IF(Simulação!$B$8="Anexo III",VLOOKUP(Simulação!$B24,Tabelas!$B$7:$O$26,$E$1,FALSE),IF(AND(Simulação!$B$8="Anexo v",MOD&gt;=41%),VLOOKUP(Simulação!$B24,Tabelas!$B$7:$O$26,$O$1,FALSE),IF(AND(Simulação!$B$8="Anexo v",MOD=40%),VLOOKUP(Simulação!$B24,Tabelas!$B$7:$O$26,$N$1,FALSE),IF(AND(Simulação!$B$8="Anexo v",MOD=35%),VLOOKUP(Simulação!$B24,Tabelas!$B$7:$O$26,$M$1,FALSE),IF(AND(Simulação!$B$8="Anexo v",MOD=30%),VLOOKUP(Simulação!$B24,Tabelas!$B$7:$O$26,$L$1,FALSE),IF(AND(Simulação!$B$8="Anexo v",MOD=25%),VLOOKUP(Simulação!$B24,Tabelas!$B$7:$O$26,$K$1,FALSE),IF(AND(Simulação!$B$8="Anexo v",MOD=20%),VLOOKUP(Simulação!$B24,Tabelas!$B$7:$O$26,$J$1,FALSE),IF(AND(Simulação!$B$8="Anexo v",MOD=15%),VLOOKUP(Simulação!$B24,Tabelas!$B$7:$O$26,$I$1,FALSE),IF(AND(Simulação!$B$8="Anexo v",MOD&lt;=10%),VLOOKUP(Simulação!$B24,Tabelas!$B$7:$O$26,$H$1,FALSE)," ")))))))))))))</f>
        <v>0.13700000000000001</v>
      </c>
    </row>
    <row r="20" spans="2:17" ht="15.75">
      <c r="B20" s="6">
        <v>2520000</v>
      </c>
      <c r="C20" s="28">
        <v>0.1023</v>
      </c>
      <c r="D20" s="28">
        <v>0.10730000000000001</v>
      </c>
      <c r="E20" s="7">
        <v>0.1535</v>
      </c>
      <c r="F20" s="8">
        <v>0.14149999999999999</v>
      </c>
      <c r="G20" s="8">
        <v>0.22140000000000001</v>
      </c>
      <c r="H20" s="9">
        <v>0.1956</v>
      </c>
      <c r="I20" s="9">
        <v>0.183</v>
      </c>
      <c r="J20" s="9">
        <v>0.16500000000000001</v>
      </c>
      <c r="K20" s="9">
        <v>0.15459999999999999</v>
      </c>
      <c r="L20" s="9">
        <v>0.15179999999999999</v>
      </c>
      <c r="M20" s="9">
        <v>0.14610000000000001</v>
      </c>
      <c r="N20" s="9">
        <v>0.1404</v>
      </c>
      <c r="O20" s="9">
        <v>0.1326</v>
      </c>
      <c r="Q20" s="37">
        <f>IF(Simulação!$B$8="Anexo I",VLOOKUP(Simulação!$B25,Tabelas!$B$7:$O$26,$C$1,FALSE),IF(Simulação!$B$8="Anexo II",VLOOKUP(Simulação!$B25,Tabelas!$B$7:$O$26,$D$1,FALSE),IF(Simulação!$B$8="Anexo VI",VLOOKUP(Simulação!$B25,Tabelas!$B$7:$O$26,$G$1,FALSE),IF(Simulação!$B$8="Anexo IV",VLOOKUP(Simulação!$B25,Tabelas!$B$7:$O$26,$F$1,FALSE),IF(Simulação!$B$8="Anexo III",VLOOKUP(Simulação!$B25,Tabelas!$B$7:$O$26,$E$1,FALSE),IF(AND(Simulação!$B$8="Anexo v",MOD&gt;=41%),VLOOKUP(Simulação!$B25,Tabelas!$B$7:$O$26,$O$1,FALSE),IF(AND(Simulação!$B$8="Anexo v",MOD=40%),VLOOKUP(Simulação!$B25,Tabelas!$B$7:$O$26,$N$1,FALSE),IF(AND(Simulação!$B$8="Anexo v",MOD=35%),VLOOKUP(Simulação!$B25,Tabelas!$B$7:$O$26,$M$1,FALSE),IF(AND(Simulação!$B$8="Anexo v",MOD=30%),VLOOKUP(Simulação!$B25,Tabelas!$B$7:$O$26,$L$1,FALSE),IF(AND(Simulação!$B$8="Anexo v",MOD=25%),VLOOKUP(Simulação!$B25,Tabelas!$B$7:$O$26,$K$1,FALSE),IF(AND(Simulação!$B$8="Anexo v",MOD=20%),VLOOKUP(Simulação!$B25,Tabelas!$B$7:$O$26,$J$1,FALSE),IF(AND(Simulação!$B$8="Anexo v",MOD=15%),VLOOKUP(Simulação!$B25,Tabelas!$B$7:$O$26,$I$1,FALSE),IF(AND(Simulação!$B$8="Anexo v",MOD&lt;=10%),VLOOKUP(Simulação!$B25,Tabelas!$B$7:$O$26,$H$1,FALSE)," ")))))))))))))</f>
        <v>0.14149999999999999</v>
      </c>
    </row>
    <row r="21" spans="2:17" ht="15.75">
      <c r="B21" s="6">
        <v>2700000</v>
      </c>
      <c r="C21" s="28">
        <v>0.1032</v>
      </c>
      <c r="D21" s="28">
        <v>0.1082</v>
      </c>
      <c r="E21" s="7">
        <v>0.15479999999999999</v>
      </c>
      <c r="F21" s="8">
        <v>0.14599999999999999</v>
      </c>
      <c r="G21" s="8">
        <v>0.22209999999999999</v>
      </c>
      <c r="H21" s="9">
        <v>0.20699999999999999</v>
      </c>
      <c r="I21" s="9">
        <v>0.193</v>
      </c>
      <c r="J21" s="9">
        <v>0.17449999999999999</v>
      </c>
      <c r="K21" s="9">
        <v>0.16239999999999999</v>
      </c>
      <c r="L21" s="9">
        <v>0.16</v>
      </c>
      <c r="M21" s="9">
        <v>0.1552</v>
      </c>
      <c r="N21" s="9">
        <v>0.15029999999999999</v>
      </c>
      <c r="O21" s="9">
        <v>0.1429</v>
      </c>
      <c r="Q21" s="37">
        <f>IF(Simulação!$B$8="Anexo I",VLOOKUP(Simulação!$B26,Tabelas!$B$7:$O$26,$C$1,FALSE),IF(Simulação!$B$8="Anexo II",VLOOKUP(Simulação!$B26,Tabelas!$B$7:$O$26,$D$1,FALSE),IF(Simulação!$B$8="Anexo VI",VLOOKUP(Simulação!$B26,Tabelas!$B$7:$O$26,$G$1,FALSE),IF(Simulação!$B$8="Anexo IV",VLOOKUP(Simulação!$B26,Tabelas!$B$7:$O$26,$F$1,FALSE),IF(Simulação!$B$8="Anexo III",VLOOKUP(Simulação!$B26,Tabelas!$B$7:$O$26,$E$1,FALSE),IF(AND(Simulação!$B$8="Anexo v",MOD&gt;=41%),VLOOKUP(Simulação!$B26,Tabelas!$B$7:$O$26,$O$1,FALSE),IF(AND(Simulação!$B$8="Anexo v",MOD=40%),VLOOKUP(Simulação!$B26,Tabelas!$B$7:$O$26,$N$1,FALSE),IF(AND(Simulação!$B$8="Anexo v",MOD=35%),VLOOKUP(Simulação!$B26,Tabelas!$B$7:$O$26,$M$1,FALSE),IF(AND(Simulação!$B$8="Anexo v",MOD=30%),VLOOKUP(Simulação!$B26,Tabelas!$B$7:$O$26,$L$1,FALSE),IF(AND(Simulação!$B$8="Anexo v",MOD=25%),VLOOKUP(Simulação!$B26,Tabelas!$B$7:$O$26,$K$1,FALSE),IF(AND(Simulação!$B$8="Anexo v",MOD=20%),VLOOKUP(Simulação!$B26,Tabelas!$B$7:$O$26,$J$1,FALSE),IF(AND(Simulação!$B$8="Anexo v",MOD=15%),VLOOKUP(Simulação!$B26,Tabelas!$B$7:$O$26,$I$1,FALSE),IF(AND(Simulação!$B$8="Anexo v",MOD&lt;=10%),VLOOKUP(Simulação!$B26,Tabelas!$B$7:$O$26,$H$1,FALSE)," ")))))))))))))</f>
        <v>0.14599999999999999</v>
      </c>
    </row>
    <row r="22" spans="2:17" ht="15.75">
      <c r="B22" s="6">
        <v>2880000</v>
      </c>
      <c r="C22" s="28">
        <v>0.1123</v>
      </c>
      <c r="D22" s="28">
        <v>0.1173</v>
      </c>
      <c r="E22" s="7">
        <v>0.16850000000000001</v>
      </c>
      <c r="F22" s="8">
        <v>0.15049999999999999</v>
      </c>
      <c r="G22" s="8">
        <v>0.22269999999999998</v>
      </c>
      <c r="H22" s="9">
        <v>0.21199999999999999</v>
      </c>
      <c r="I22" s="9">
        <v>0.2</v>
      </c>
      <c r="J22" s="9">
        <v>0.182</v>
      </c>
      <c r="K22" s="9">
        <v>0.1691</v>
      </c>
      <c r="L22" s="9">
        <v>0.16719999999999999</v>
      </c>
      <c r="M22" s="9">
        <v>0.16320000000000001</v>
      </c>
      <c r="N22" s="9">
        <v>0.1593</v>
      </c>
      <c r="O22" s="9">
        <v>0.15229999999999999</v>
      </c>
      <c r="Q22" s="37">
        <f>IF(Simulação!$B$8="Anexo I",VLOOKUP(Simulação!$B27,Tabelas!$B$7:$O$26,$C$1,FALSE),IF(Simulação!$B$8="Anexo II",VLOOKUP(Simulação!$B27,Tabelas!$B$7:$O$26,$D$1,FALSE),IF(Simulação!$B$8="Anexo VI",VLOOKUP(Simulação!$B27,Tabelas!$B$7:$O$26,$G$1,FALSE),IF(Simulação!$B$8="Anexo IV",VLOOKUP(Simulação!$B27,Tabelas!$B$7:$O$26,$F$1,FALSE),IF(Simulação!$B$8="Anexo III",VLOOKUP(Simulação!$B27,Tabelas!$B$7:$O$26,$E$1,FALSE),IF(AND(Simulação!$B$8="Anexo v",MOD&gt;=41%),VLOOKUP(Simulação!$B27,Tabelas!$B$7:$O$26,$O$1,FALSE),IF(AND(Simulação!$B$8="Anexo v",MOD=40%),VLOOKUP(Simulação!$B27,Tabelas!$B$7:$O$26,$N$1,FALSE),IF(AND(Simulação!$B$8="Anexo v",MOD=35%),VLOOKUP(Simulação!$B27,Tabelas!$B$7:$O$26,$M$1,FALSE),IF(AND(Simulação!$B$8="Anexo v",MOD=30%),VLOOKUP(Simulação!$B27,Tabelas!$B$7:$O$26,$L$1,FALSE),IF(AND(Simulação!$B$8="Anexo v",MOD=25%),VLOOKUP(Simulação!$B27,Tabelas!$B$7:$O$26,$K$1,FALSE),IF(AND(Simulação!$B$8="Anexo v",MOD=20%),VLOOKUP(Simulação!$B27,Tabelas!$B$7:$O$26,$J$1,FALSE),IF(AND(Simulação!$B$8="Anexo v",MOD=15%),VLOOKUP(Simulação!$B27,Tabelas!$B$7:$O$26,$I$1,FALSE),IF(AND(Simulação!$B$8="Anexo v",MOD&lt;=10%),VLOOKUP(Simulação!$B27,Tabelas!$B$7:$O$26,$H$1,FALSE)," ")))))))))))))</f>
        <v>0.15049999999999999</v>
      </c>
    </row>
    <row r="23" spans="2:17" ht="15.75">
      <c r="B23" s="6">
        <v>3060000</v>
      </c>
      <c r="C23" s="28">
        <v>0.1132</v>
      </c>
      <c r="D23" s="28">
        <v>0.1182</v>
      </c>
      <c r="E23" s="7">
        <v>0.16980000000000001</v>
      </c>
      <c r="F23" s="8">
        <v>0.155</v>
      </c>
      <c r="G23" s="8">
        <v>0.22319999999999998</v>
      </c>
      <c r="H23" s="9">
        <v>0.217</v>
      </c>
      <c r="I23" s="9">
        <v>0.20499999999999999</v>
      </c>
      <c r="J23" s="9">
        <v>0.187</v>
      </c>
      <c r="K23" s="9">
        <v>0.17399999999999999</v>
      </c>
      <c r="L23" s="9">
        <v>0.17130000000000001</v>
      </c>
      <c r="M23" s="9">
        <v>0.16819999999999999</v>
      </c>
      <c r="N23" s="9">
        <v>0.1638</v>
      </c>
      <c r="O23" s="9">
        <v>0.16170000000000001</v>
      </c>
      <c r="Q23" s="37">
        <f>IF(Simulação!$B$8="Anexo I",VLOOKUP(Simulação!$B28,Tabelas!$B$7:$O$26,$C$1,FALSE),IF(Simulação!$B$8="Anexo II",VLOOKUP(Simulação!$B28,Tabelas!$B$7:$O$26,$D$1,FALSE),IF(Simulação!$B$8="Anexo VI",VLOOKUP(Simulação!$B28,Tabelas!$B$7:$O$26,$G$1,FALSE),IF(Simulação!$B$8="Anexo IV",VLOOKUP(Simulação!$B28,Tabelas!$B$7:$O$26,$F$1,FALSE),IF(Simulação!$B$8="Anexo III",VLOOKUP(Simulação!$B28,Tabelas!$B$7:$O$26,$E$1,FALSE),IF(AND(Simulação!$B$8="Anexo v",MOD&gt;=41%),VLOOKUP(Simulação!$B28,Tabelas!$B$7:$O$26,$O$1,FALSE),IF(AND(Simulação!$B$8="Anexo v",MOD=40%),VLOOKUP(Simulação!$B28,Tabelas!$B$7:$O$26,$N$1,FALSE),IF(AND(Simulação!$B$8="Anexo v",MOD=35%),VLOOKUP(Simulação!$B28,Tabelas!$B$7:$O$26,$M$1,FALSE),IF(AND(Simulação!$B$8="Anexo v",MOD=30%),VLOOKUP(Simulação!$B28,Tabelas!$B$7:$O$26,$L$1,FALSE),IF(AND(Simulação!$B$8="Anexo v",MOD=25%),VLOOKUP(Simulação!$B28,Tabelas!$B$7:$O$26,$K$1,FALSE),IF(AND(Simulação!$B$8="Anexo v",MOD=20%),VLOOKUP(Simulação!$B28,Tabelas!$B$7:$O$26,$J$1,FALSE),IF(AND(Simulação!$B$8="Anexo v",MOD=15%),VLOOKUP(Simulação!$B28,Tabelas!$B$7:$O$26,$I$1,FALSE),IF(AND(Simulação!$B$8="Anexo v",MOD&lt;=10%),VLOOKUP(Simulação!$B28,Tabelas!$B$7:$O$26,$H$1,FALSE)," ")))))))))))))</f>
        <v>0.155</v>
      </c>
    </row>
    <row r="24" spans="2:17" ht="15.75">
      <c r="B24" s="6">
        <v>3240000</v>
      </c>
      <c r="C24" s="28">
        <v>0.1142</v>
      </c>
      <c r="D24" s="28">
        <v>0.1192</v>
      </c>
      <c r="E24" s="7">
        <v>0.17130000000000001</v>
      </c>
      <c r="F24" s="8">
        <v>0.1595</v>
      </c>
      <c r="G24" s="8">
        <v>0.22369999999999998</v>
      </c>
      <c r="H24" s="9">
        <v>0.222</v>
      </c>
      <c r="I24" s="9">
        <v>0.20899999999999999</v>
      </c>
      <c r="J24" s="9">
        <v>0.191</v>
      </c>
      <c r="K24" s="9">
        <v>0.17799999999999999</v>
      </c>
      <c r="L24" s="9">
        <v>0.17549999999999999</v>
      </c>
      <c r="M24" s="9">
        <v>0.17219999999999999</v>
      </c>
      <c r="N24" s="9">
        <v>0.16819999999999999</v>
      </c>
      <c r="O24" s="9">
        <v>0.1651</v>
      </c>
      <c r="Q24" s="37">
        <f>IF(Simulação!$B$8="Anexo I",VLOOKUP(Simulação!$B29,Tabelas!$B$7:$O$26,$C$1,FALSE),IF(Simulação!$B$8="Anexo II",VLOOKUP(Simulação!$B29,Tabelas!$B$7:$O$26,$D$1,FALSE),IF(Simulação!$B$8="Anexo VI",VLOOKUP(Simulação!$B29,Tabelas!$B$7:$O$26,$G$1,FALSE),IF(Simulação!$B$8="Anexo IV",VLOOKUP(Simulação!$B29,Tabelas!$B$7:$O$26,$F$1,FALSE),IF(Simulação!$B$8="Anexo III",VLOOKUP(Simulação!$B29,Tabelas!$B$7:$O$26,$E$1,FALSE),IF(AND(Simulação!$B$8="Anexo v",MOD&gt;=41%),VLOOKUP(Simulação!$B29,Tabelas!$B$7:$O$26,$O$1,FALSE),IF(AND(Simulação!$B$8="Anexo v",MOD=40%),VLOOKUP(Simulação!$B29,Tabelas!$B$7:$O$26,$N$1,FALSE),IF(AND(Simulação!$B$8="Anexo v",MOD=35%),VLOOKUP(Simulação!$B29,Tabelas!$B$7:$O$26,$M$1,FALSE),IF(AND(Simulação!$B$8="Anexo v",MOD=30%),VLOOKUP(Simulação!$B29,Tabelas!$B$7:$O$26,$L$1,FALSE),IF(AND(Simulação!$B$8="Anexo v",MOD=25%),VLOOKUP(Simulação!$B29,Tabelas!$B$7:$O$26,$K$1,FALSE),IF(AND(Simulação!$B$8="Anexo v",MOD=20%),VLOOKUP(Simulação!$B29,Tabelas!$B$7:$O$26,$J$1,FALSE),IF(AND(Simulação!$B$8="Anexo v",MOD=15%),VLOOKUP(Simulação!$B29,Tabelas!$B$7:$O$26,$I$1,FALSE),IF(AND(Simulação!$B$8="Anexo v",MOD&lt;=10%),VLOOKUP(Simulação!$B29,Tabelas!$B$7:$O$26,$H$1,FALSE)," ")))))))))))))</f>
        <v>0.1595</v>
      </c>
    </row>
    <row r="25" spans="2:17" ht="15.75">
      <c r="B25" s="6">
        <v>3420000</v>
      </c>
      <c r="C25" s="28">
        <v>0.11509999999999999</v>
      </c>
      <c r="D25" s="28">
        <v>0.1201</v>
      </c>
      <c r="E25" s="7">
        <v>0.17269999999999999</v>
      </c>
      <c r="F25" s="8">
        <v>0.16400000000000001</v>
      </c>
      <c r="G25" s="8">
        <v>0.22409999999999999</v>
      </c>
      <c r="H25" s="9">
        <v>0.22500000000000001</v>
      </c>
      <c r="I25" s="9">
        <v>0.21299999999999999</v>
      </c>
      <c r="J25" s="9">
        <v>0.19500000000000001</v>
      </c>
      <c r="K25" s="9">
        <v>0.182</v>
      </c>
      <c r="L25" s="9">
        <v>0.1797</v>
      </c>
      <c r="M25" s="9">
        <v>0.1744</v>
      </c>
      <c r="N25" s="9">
        <v>0.1721</v>
      </c>
      <c r="O25" s="9">
        <v>0.1694</v>
      </c>
      <c r="Q25" s="37">
        <f>IF(Simulação!$B$8="Anexo I",VLOOKUP(Simulação!$B30,Tabelas!$B$7:$O$26,$C$1,FALSE),IF(Simulação!$B$8="Anexo II",VLOOKUP(Simulação!$B30,Tabelas!$B$7:$O$26,$D$1,FALSE),IF(Simulação!$B$8="Anexo VI",VLOOKUP(Simulação!$B30,Tabelas!$B$7:$O$26,$G$1,FALSE),IF(Simulação!$B$8="Anexo IV",VLOOKUP(Simulação!$B30,Tabelas!$B$7:$O$26,$F$1,FALSE),IF(Simulação!$B$8="Anexo III",VLOOKUP(Simulação!$B30,Tabelas!$B$7:$O$26,$E$1,FALSE),IF(AND(Simulação!$B$8="Anexo v",MOD&gt;=41%),VLOOKUP(Simulação!$B30,Tabelas!$B$7:$O$26,$O$1,FALSE),IF(AND(Simulação!$B$8="Anexo v",MOD=40%),VLOOKUP(Simulação!$B30,Tabelas!$B$7:$O$26,$N$1,FALSE),IF(AND(Simulação!$B$8="Anexo v",MOD=35%),VLOOKUP(Simulação!$B30,Tabelas!$B$7:$O$26,$M$1,FALSE),IF(AND(Simulação!$B$8="Anexo v",MOD=30%),VLOOKUP(Simulação!$B30,Tabelas!$B$7:$O$26,$L$1,FALSE),IF(AND(Simulação!$B$8="Anexo v",MOD=25%),VLOOKUP(Simulação!$B30,Tabelas!$B$7:$O$26,$K$1,FALSE),IF(AND(Simulação!$B$8="Anexo v",MOD=20%),VLOOKUP(Simulação!$B30,Tabelas!$B$7:$O$26,$J$1,FALSE),IF(AND(Simulação!$B$8="Anexo v",MOD=15%),VLOOKUP(Simulação!$B30,Tabelas!$B$7:$O$26,$I$1,FALSE),IF(AND(Simulação!$B$8="Anexo v",MOD&lt;=10%),VLOOKUP(Simulação!$B30,Tabelas!$B$7:$O$26,$H$1,FALSE)," ")))))))))))))</f>
        <v>0.16400000000000001</v>
      </c>
    </row>
    <row r="26" spans="2:17" ht="15.75">
      <c r="B26" s="6">
        <v>3600000</v>
      </c>
      <c r="C26" s="28">
        <v>0.11609999999999999</v>
      </c>
      <c r="D26" s="28">
        <v>0.1211</v>
      </c>
      <c r="E26" s="7">
        <v>0.17419999999999999</v>
      </c>
      <c r="F26" s="8">
        <v>0.16850000000000001</v>
      </c>
      <c r="G26" s="8">
        <v>0.22450000000000001</v>
      </c>
      <c r="H26" s="9">
        <v>0.22900000000000001</v>
      </c>
      <c r="I26" s="9">
        <v>0.218</v>
      </c>
      <c r="J26" s="9">
        <v>0.2</v>
      </c>
      <c r="K26" s="9">
        <v>0.186</v>
      </c>
      <c r="L26" s="9">
        <v>0.184</v>
      </c>
      <c r="M26" s="9">
        <v>0.17849999999999999</v>
      </c>
      <c r="N26" s="9">
        <v>0.17599999999999999</v>
      </c>
      <c r="O26" s="9">
        <v>0.17180000000000001</v>
      </c>
      <c r="Q26" s="37">
        <f>IF(Simulação!$B$8="Anexo I",VLOOKUP(Simulação!$B31,Tabelas!$B$7:$O$26,$C$1,FALSE),IF(Simulação!$B$8="Anexo II",VLOOKUP(Simulação!$B31,Tabelas!$B$7:$O$26,$D$1,FALSE),IF(Simulação!$B$8="Anexo VI",VLOOKUP(Simulação!$B31,Tabelas!$B$7:$O$26,$G$1,FALSE),IF(Simulação!$B$8="Anexo IV",VLOOKUP(Simulação!$B31,Tabelas!$B$7:$O$26,$F$1,FALSE),IF(Simulação!$B$8="Anexo III",VLOOKUP(Simulação!$B31,Tabelas!$B$7:$O$26,$E$1,FALSE),IF(AND(Simulação!$B$8="Anexo v",MOD&gt;=41%),VLOOKUP(Simulação!$B31,Tabelas!$B$7:$O$26,$O$1,FALSE),IF(AND(Simulação!$B$8="Anexo v",MOD=40%),VLOOKUP(Simulação!$B31,Tabelas!$B$7:$O$26,$N$1,FALSE),IF(AND(Simulação!$B$8="Anexo v",MOD=35%),VLOOKUP(Simulação!$B31,Tabelas!$B$7:$O$26,$M$1,FALSE),IF(AND(Simulação!$B$8="Anexo v",MOD=30%),VLOOKUP(Simulação!$B31,Tabelas!$B$7:$O$26,$L$1,FALSE),IF(AND(Simulação!$B$8="Anexo v",MOD=25%),VLOOKUP(Simulação!$B31,Tabelas!$B$7:$O$26,$K$1,FALSE),IF(AND(Simulação!$B$8="Anexo v",MOD=20%),VLOOKUP(Simulação!$B31,Tabelas!$B$7:$O$26,$J$1,FALSE),IF(AND(Simulação!$B$8="Anexo v",MOD=15%),VLOOKUP(Simulação!$B31,Tabelas!$B$7:$O$26,$I$1,FALSE),IF(AND(Simulação!$B$8="Anexo v",MOD&lt;=10%),VLOOKUP(Simulação!$B31,Tabelas!$B$7:$O$26,$H$1,FALSE)," ")))))))))))))</f>
        <v>0.16850000000000001</v>
      </c>
    </row>
  </sheetData>
  <mergeCells count="7">
    <mergeCell ref="H5:O5"/>
    <mergeCell ref="E5:E6"/>
    <mergeCell ref="F5:F6"/>
    <mergeCell ref="B5:B6"/>
    <mergeCell ref="G5:G6"/>
    <mergeCell ref="C5:C6"/>
    <mergeCell ref="D5:D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9"/>
  <sheetViews>
    <sheetView topLeftCell="A120" zoomScale="85" zoomScaleNormal="85" workbookViewId="0">
      <selection activeCell="F18" sqref="F18"/>
    </sheetView>
  </sheetViews>
  <sheetFormatPr defaultRowHeight="15"/>
  <cols>
    <col min="2" max="2" width="30.7109375" customWidth="1"/>
    <col min="3" max="3" width="34.85546875" customWidth="1"/>
    <col min="4" max="6" width="13.42578125" customWidth="1"/>
  </cols>
  <sheetData>
    <row r="1" spans="3:7" s="1" customFormat="1" ht="15.75" thickBot="1"/>
    <row r="2" spans="3:7" s="15" customFormat="1" ht="13.5" thickTop="1" thickBot="1">
      <c r="C2" s="14" t="s">
        <v>40</v>
      </c>
      <c r="D2" s="14" t="s">
        <v>41</v>
      </c>
      <c r="E2" s="14" t="s">
        <v>42</v>
      </c>
      <c r="F2" s="14" t="s">
        <v>43</v>
      </c>
      <c r="G2" s="14" t="s">
        <v>44</v>
      </c>
    </row>
    <row r="3" spans="3:7" s="15" customFormat="1" ht="13.5" thickTop="1" thickBot="1">
      <c r="C3" s="14" t="s">
        <v>44</v>
      </c>
      <c r="D3" s="16">
        <v>820728</v>
      </c>
      <c r="E3" s="16">
        <v>42800</v>
      </c>
      <c r="F3" s="16">
        <v>30981</v>
      </c>
      <c r="G3" s="16">
        <v>894509</v>
      </c>
    </row>
    <row r="4" spans="3:7" s="15" customFormat="1" ht="13.5" thickTop="1" thickBot="1">
      <c r="C4" s="17" t="s">
        <v>45</v>
      </c>
      <c r="D4" s="18">
        <v>2235</v>
      </c>
      <c r="E4" s="17">
        <v>36</v>
      </c>
      <c r="F4" s="17">
        <v>217</v>
      </c>
      <c r="G4" s="18">
        <v>2488</v>
      </c>
    </row>
    <row r="5" spans="3:7" ht="16.5" thickTop="1" thickBot="1">
      <c r="C5" s="12" t="s">
        <v>46</v>
      </c>
      <c r="D5" s="13">
        <v>7030</v>
      </c>
      <c r="E5" s="12">
        <v>155</v>
      </c>
      <c r="F5" s="12">
        <v>359</v>
      </c>
      <c r="G5" s="13">
        <v>7544</v>
      </c>
    </row>
    <row r="6" spans="3:7" ht="16.5" thickTop="1" thickBot="1">
      <c r="C6" s="10" t="s">
        <v>47</v>
      </c>
      <c r="D6" s="11">
        <v>6121</v>
      </c>
      <c r="E6" s="10">
        <v>79</v>
      </c>
      <c r="F6" s="10">
        <v>453</v>
      </c>
      <c r="G6" s="11">
        <v>6653</v>
      </c>
    </row>
    <row r="7" spans="3:7" ht="16.5" thickTop="1" thickBot="1">
      <c r="C7" s="12" t="s">
        <v>48</v>
      </c>
      <c r="D7" s="13">
        <v>1617</v>
      </c>
      <c r="E7" s="12">
        <v>128</v>
      </c>
      <c r="F7" s="12">
        <v>282</v>
      </c>
      <c r="G7" s="13">
        <v>2027</v>
      </c>
    </row>
    <row r="8" spans="3:7" ht="16.5" thickTop="1" thickBot="1">
      <c r="C8" s="10" t="s">
        <v>49</v>
      </c>
      <c r="D8" s="11">
        <v>29920</v>
      </c>
      <c r="E8" s="11">
        <v>1860</v>
      </c>
      <c r="F8" s="11">
        <v>1608</v>
      </c>
      <c r="G8" s="11">
        <v>33388</v>
      </c>
    </row>
    <row r="9" spans="3:7" ht="16.5" thickTop="1" thickBot="1">
      <c r="C9" s="12" t="s">
        <v>50</v>
      </c>
      <c r="D9" s="13">
        <v>17650</v>
      </c>
      <c r="E9" s="12">
        <v>303</v>
      </c>
      <c r="F9" s="12">
        <v>431</v>
      </c>
      <c r="G9" s="13">
        <v>18384</v>
      </c>
    </row>
    <row r="10" spans="3:7" ht="16.5" thickTop="1" thickBot="1">
      <c r="C10" s="10" t="s">
        <v>51</v>
      </c>
      <c r="D10" s="11">
        <v>26235</v>
      </c>
      <c r="E10" s="11">
        <v>1919</v>
      </c>
      <c r="F10" s="11">
        <v>3071</v>
      </c>
      <c r="G10" s="11">
        <v>31225</v>
      </c>
    </row>
    <row r="11" spans="3:7" ht="16.5" thickTop="1" thickBot="1">
      <c r="C11" s="12" t="s">
        <v>52</v>
      </c>
      <c r="D11" s="13">
        <v>13196</v>
      </c>
      <c r="E11" s="12">
        <v>235</v>
      </c>
      <c r="F11" s="12">
        <v>725</v>
      </c>
      <c r="G11" s="13">
        <v>14156</v>
      </c>
    </row>
    <row r="12" spans="3:7" ht="16.5" thickTop="1" thickBot="1">
      <c r="C12" s="10" t="s">
        <v>53</v>
      </c>
      <c r="D12" s="11">
        <v>23016</v>
      </c>
      <c r="E12" s="11">
        <v>1385</v>
      </c>
      <c r="F12" s="11">
        <v>1384</v>
      </c>
      <c r="G12" s="11">
        <v>25785</v>
      </c>
    </row>
    <row r="13" spans="3:7" ht="16.5" thickTop="1" thickBot="1">
      <c r="C13" s="12" t="s">
        <v>54</v>
      </c>
      <c r="D13" s="13">
        <v>8018</v>
      </c>
      <c r="E13" s="12">
        <v>111</v>
      </c>
      <c r="F13" s="12">
        <v>709</v>
      </c>
      <c r="G13" s="13">
        <v>8838</v>
      </c>
    </row>
    <row r="14" spans="3:7" ht="16.5" thickTop="1" thickBot="1">
      <c r="C14" s="10" t="s">
        <v>55</v>
      </c>
      <c r="D14" s="11">
        <v>83171</v>
      </c>
      <c r="E14" s="11">
        <v>8604</v>
      </c>
      <c r="F14" s="11">
        <v>2239</v>
      </c>
      <c r="G14" s="11">
        <v>94014</v>
      </c>
    </row>
    <row r="15" spans="3:7" ht="16.5" thickTop="1" thickBot="1">
      <c r="C15" s="12" t="s">
        <v>56</v>
      </c>
      <c r="D15" s="13">
        <v>9839</v>
      </c>
      <c r="E15" s="12">
        <v>223</v>
      </c>
      <c r="F15" s="12">
        <v>752</v>
      </c>
      <c r="G15" s="13">
        <v>10814</v>
      </c>
    </row>
    <row r="16" spans="3:7" ht="16.5" thickTop="1" thickBot="1">
      <c r="C16" s="10" t="s">
        <v>57</v>
      </c>
      <c r="D16" s="11">
        <v>11375</v>
      </c>
      <c r="E16" s="11">
        <v>1237</v>
      </c>
      <c r="F16" s="11">
        <v>1069</v>
      </c>
      <c r="G16" s="11">
        <v>13681</v>
      </c>
    </row>
    <row r="17" spans="3:7" ht="16.5" thickTop="1" thickBot="1">
      <c r="C17" s="12" t="s">
        <v>58</v>
      </c>
      <c r="D17" s="13">
        <v>12239</v>
      </c>
      <c r="E17" s="12">
        <v>653</v>
      </c>
      <c r="F17" s="12">
        <v>661</v>
      </c>
      <c r="G17" s="13">
        <v>13553</v>
      </c>
    </row>
    <row r="18" spans="3:7" ht="16.5" thickTop="1" thickBot="1">
      <c r="C18" s="10" t="s">
        <v>59</v>
      </c>
      <c r="D18" s="11">
        <v>9254</v>
      </c>
      <c r="E18" s="10">
        <v>291</v>
      </c>
      <c r="F18" s="10">
        <v>326</v>
      </c>
      <c r="G18" s="11">
        <v>9871</v>
      </c>
    </row>
    <row r="19" spans="3:7" ht="16.5" thickTop="1" thickBot="1">
      <c r="C19" s="12" t="s">
        <v>60</v>
      </c>
      <c r="D19" s="13">
        <v>21257</v>
      </c>
      <c r="E19" s="13">
        <v>1204</v>
      </c>
      <c r="F19" s="12">
        <v>752</v>
      </c>
      <c r="G19" s="13">
        <v>23213</v>
      </c>
    </row>
    <row r="20" spans="3:7" ht="16.5" thickTop="1" thickBot="1">
      <c r="C20" s="10" t="s">
        <v>61</v>
      </c>
      <c r="D20" s="11">
        <v>7442</v>
      </c>
      <c r="E20" s="10">
        <v>294</v>
      </c>
      <c r="F20" s="10">
        <v>285</v>
      </c>
      <c r="G20" s="11">
        <v>8021</v>
      </c>
    </row>
    <row r="21" spans="3:7" ht="16.5" thickTop="1" thickBot="1">
      <c r="C21" s="12" t="s">
        <v>62</v>
      </c>
      <c r="D21" s="13">
        <v>46486</v>
      </c>
      <c r="E21" s="12">
        <v>194</v>
      </c>
      <c r="F21" s="13">
        <v>1787</v>
      </c>
      <c r="G21" s="13">
        <v>48467</v>
      </c>
    </row>
    <row r="22" spans="3:7" ht="16.5" thickTop="1" thickBot="1">
      <c r="C22" s="10" t="s">
        <v>63</v>
      </c>
      <c r="D22" s="11">
        <v>126403</v>
      </c>
      <c r="E22" s="11">
        <v>8366</v>
      </c>
      <c r="F22" s="11">
        <v>3650</v>
      </c>
      <c r="G22" s="11">
        <v>138419</v>
      </c>
    </row>
    <row r="23" spans="3:7" ht="16.5" thickTop="1" thickBot="1">
      <c r="C23" s="12" t="s">
        <v>64</v>
      </c>
      <c r="D23" s="13">
        <v>7793</v>
      </c>
      <c r="E23" s="12">
        <v>164</v>
      </c>
      <c r="F23" s="12">
        <v>412</v>
      </c>
      <c r="G23" s="13">
        <v>8369</v>
      </c>
    </row>
    <row r="24" spans="3:7" ht="16.5" thickTop="1" thickBot="1">
      <c r="C24" s="10" t="s">
        <v>65</v>
      </c>
      <c r="D24" s="11">
        <v>4493</v>
      </c>
      <c r="E24" s="10">
        <v>127</v>
      </c>
      <c r="F24" s="10">
        <v>420</v>
      </c>
      <c r="G24" s="11">
        <v>5040</v>
      </c>
    </row>
    <row r="25" spans="3:7" ht="16.5" thickTop="1" thickBot="1">
      <c r="C25" s="12" t="s">
        <v>66</v>
      </c>
      <c r="D25" s="13">
        <v>1023</v>
      </c>
      <c r="E25" s="12">
        <v>102</v>
      </c>
      <c r="F25" s="12">
        <v>178</v>
      </c>
      <c r="G25" s="13">
        <v>1303</v>
      </c>
    </row>
    <row r="26" spans="3:7" ht="16.5" thickTop="1" thickBot="1">
      <c r="C26" s="10" t="s">
        <v>67</v>
      </c>
      <c r="D26" s="11">
        <v>59542</v>
      </c>
      <c r="E26" s="11">
        <v>3092</v>
      </c>
      <c r="F26" s="10">
        <v>953</v>
      </c>
      <c r="G26" s="11">
        <v>63587</v>
      </c>
    </row>
    <row r="27" spans="3:7" ht="16.5" thickTop="1" thickBot="1">
      <c r="C27" s="12" t="s">
        <v>68</v>
      </c>
      <c r="D27" s="13">
        <v>25610</v>
      </c>
      <c r="E27" s="12">
        <v>256</v>
      </c>
      <c r="F27" s="13">
        <v>1885</v>
      </c>
      <c r="G27" s="13">
        <v>27751</v>
      </c>
    </row>
    <row r="28" spans="3:7" ht="16.5" thickTop="1" thickBot="1">
      <c r="C28" s="10" t="s">
        <v>69</v>
      </c>
      <c r="D28" s="11">
        <v>5137</v>
      </c>
      <c r="E28" s="10">
        <v>152</v>
      </c>
      <c r="F28" s="10">
        <v>350</v>
      </c>
      <c r="G28" s="11">
        <v>5639</v>
      </c>
    </row>
    <row r="29" spans="3:7" ht="16.5" thickTop="1" thickBot="1">
      <c r="C29" s="12" t="s">
        <v>70</v>
      </c>
      <c r="D29" s="13">
        <v>251144</v>
      </c>
      <c r="E29" s="13">
        <v>11508</v>
      </c>
      <c r="F29" s="13">
        <v>5505</v>
      </c>
      <c r="G29" s="13">
        <v>268157</v>
      </c>
    </row>
    <row r="30" spans="3:7" ht="15.75" thickTop="1">
      <c r="C30" s="10" t="s">
        <v>71</v>
      </c>
      <c r="D30" s="11">
        <v>3482</v>
      </c>
      <c r="E30" s="10">
        <v>122</v>
      </c>
      <c r="F30" s="10">
        <v>518</v>
      </c>
      <c r="G30" s="11">
        <v>4122</v>
      </c>
    </row>
    <row r="33" spans="2:6" ht="15.75" thickBot="1"/>
    <row r="34" spans="2:6" ht="16.5" thickTop="1" thickBot="1">
      <c r="B34" s="174" t="s">
        <v>40</v>
      </c>
      <c r="C34" s="176" t="s">
        <v>72</v>
      </c>
      <c r="D34" s="177"/>
      <c r="E34" s="178"/>
      <c r="F34" s="179" t="s">
        <v>44</v>
      </c>
    </row>
    <row r="35" spans="2:6" ht="16.5" thickTop="1" thickBot="1">
      <c r="B35" s="175"/>
      <c r="C35" s="24" t="s">
        <v>73</v>
      </c>
      <c r="D35" s="24" t="s">
        <v>74</v>
      </c>
      <c r="E35" s="24" t="s">
        <v>75</v>
      </c>
      <c r="F35" s="180"/>
    </row>
    <row r="36" spans="2:6" ht="16.5" thickTop="1" thickBot="1">
      <c r="B36" s="174" t="s">
        <v>44</v>
      </c>
      <c r="C36" s="24" t="s">
        <v>76</v>
      </c>
      <c r="D36" s="25">
        <v>28634</v>
      </c>
      <c r="E36" s="25">
        <v>20184</v>
      </c>
      <c r="F36" s="25">
        <v>48818</v>
      </c>
    </row>
    <row r="37" spans="2:6" ht="16.5" thickTop="1" thickBot="1">
      <c r="B37" s="181"/>
      <c r="C37" s="24" t="s">
        <v>77</v>
      </c>
      <c r="D37" s="25">
        <v>201214</v>
      </c>
      <c r="E37" s="25">
        <v>180193</v>
      </c>
      <c r="F37" s="25">
        <v>381407</v>
      </c>
    </row>
    <row r="38" spans="2:6" ht="16.5" thickTop="1" thickBot="1">
      <c r="B38" s="181"/>
      <c r="C38" s="24" t="s">
        <v>78</v>
      </c>
      <c r="D38" s="25">
        <v>106082</v>
      </c>
      <c r="E38" s="25">
        <v>136001</v>
      </c>
      <c r="F38" s="25">
        <v>242083</v>
      </c>
    </row>
    <row r="39" spans="2:6" ht="16.5" thickTop="1" thickBot="1">
      <c r="B39" s="175"/>
      <c r="C39" s="24" t="s">
        <v>79</v>
      </c>
      <c r="D39" s="25">
        <v>41446</v>
      </c>
      <c r="E39" s="25">
        <v>106974</v>
      </c>
      <c r="F39" s="25">
        <v>148420</v>
      </c>
    </row>
    <row r="40" spans="2:6" ht="16.5" thickTop="1" thickBot="1">
      <c r="B40" s="168" t="s">
        <v>45</v>
      </c>
      <c r="C40" s="19" t="s">
        <v>76</v>
      </c>
      <c r="D40" s="19">
        <v>55</v>
      </c>
      <c r="E40" s="19">
        <v>59</v>
      </c>
      <c r="F40" s="19">
        <v>114</v>
      </c>
    </row>
    <row r="41" spans="2:6" ht="16.5" thickTop="1" thickBot="1">
      <c r="B41" s="169"/>
      <c r="C41" s="19" t="s">
        <v>77</v>
      </c>
      <c r="D41" s="19">
        <v>378</v>
      </c>
      <c r="E41" s="19">
        <v>433</v>
      </c>
      <c r="F41" s="19">
        <v>811</v>
      </c>
    </row>
    <row r="42" spans="2:6" ht="16.5" thickTop="1" thickBot="1">
      <c r="B42" s="169"/>
      <c r="C42" s="19" t="s">
        <v>78</v>
      </c>
      <c r="D42" s="19">
        <v>297</v>
      </c>
      <c r="E42" s="19">
        <v>451</v>
      </c>
      <c r="F42" s="19">
        <v>748</v>
      </c>
    </row>
    <row r="43" spans="2:6" ht="16.5" thickTop="1" thickBot="1">
      <c r="B43" s="170"/>
      <c r="C43" s="19" t="s">
        <v>79</v>
      </c>
      <c r="D43" s="19">
        <v>140</v>
      </c>
      <c r="E43" s="19">
        <v>422</v>
      </c>
      <c r="F43" s="19">
        <v>562</v>
      </c>
    </row>
    <row r="44" spans="2:6" ht="16.5" thickTop="1" thickBot="1">
      <c r="B44" s="171" t="s">
        <v>46</v>
      </c>
      <c r="C44" s="20" t="s">
        <v>76</v>
      </c>
      <c r="D44" s="20">
        <v>336</v>
      </c>
      <c r="E44" s="20">
        <v>286</v>
      </c>
      <c r="F44" s="20">
        <v>622</v>
      </c>
    </row>
    <row r="45" spans="2:6" ht="16.5" thickTop="1" thickBot="1">
      <c r="B45" s="172"/>
      <c r="C45" s="20" t="s">
        <v>77</v>
      </c>
      <c r="D45" s="21">
        <v>1682</v>
      </c>
      <c r="E45" s="21">
        <v>1710</v>
      </c>
      <c r="F45" s="21">
        <v>3392</v>
      </c>
    </row>
    <row r="46" spans="2:6" ht="16.5" thickTop="1" thickBot="1">
      <c r="B46" s="172"/>
      <c r="C46" s="20" t="s">
        <v>78</v>
      </c>
      <c r="D46" s="20">
        <v>636</v>
      </c>
      <c r="E46" s="21">
        <v>1183</v>
      </c>
      <c r="F46" s="21">
        <v>1819</v>
      </c>
    </row>
    <row r="47" spans="2:6" ht="16.5" thickTop="1" thickBot="1">
      <c r="B47" s="173"/>
      <c r="C47" s="20" t="s">
        <v>79</v>
      </c>
      <c r="D47" s="20">
        <v>294</v>
      </c>
      <c r="E47" s="20">
        <v>903</v>
      </c>
      <c r="F47" s="21">
        <v>1197</v>
      </c>
    </row>
    <row r="48" spans="2:6" ht="16.5" thickTop="1" thickBot="1">
      <c r="B48" s="168" t="s">
        <v>47</v>
      </c>
      <c r="C48" s="19" t="s">
        <v>76</v>
      </c>
      <c r="D48" s="19">
        <v>272</v>
      </c>
      <c r="E48" s="19">
        <v>203</v>
      </c>
      <c r="F48" s="19">
        <v>475</v>
      </c>
    </row>
    <row r="49" spans="2:6" ht="16.5" thickTop="1" thickBot="1">
      <c r="B49" s="169"/>
      <c r="C49" s="19" t="s">
        <v>77</v>
      </c>
      <c r="D49" s="22">
        <v>1557</v>
      </c>
      <c r="E49" s="22">
        <v>1490</v>
      </c>
      <c r="F49" s="22">
        <v>3047</v>
      </c>
    </row>
    <row r="50" spans="2:6" ht="16.5" thickTop="1" thickBot="1">
      <c r="B50" s="169"/>
      <c r="C50" s="19" t="s">
        <v>78</v>
      </c>
      <c r="D50" s="19">
        <v>797</v>
      </c>
      <c r="E50" s="22">
        <v>1058</v>
      </c>
      <c r="F50" s="22">
        <v>1855</v>
      </c>
    </row>
    <row r="51" spans="2:6" ht="16.5" thickTop="1" thickBot="1">
      <c r="B51" s="170"/>
      <c r="C51" s="19" t="s">
        <v>79</v>
      </c>
      <c r="D51" s="19">
        <v>204</v>
      </c>
      <c r="E51" s="19">
        <v>540</v>
      </c>
      <c r="F51" s="19">
        <v>744</v>
      </c>
    </row>
    <row r="52" spans="2:6" ht="16.5" thickTop="1" thickBot="1">
      <c r="B52" s="171" t="s">
        <v>48</v>
      </c>
      <c r="C52" s="20" t="s">
        <v>76</v>
      </c>
      <c r="D52" s="20">
        <v>86</v>
      </c>
      <c r="E52" s="20">
        <v>70</v>
      </c>
      <c r="F52" s="20">
        <v>156</v>
      </c>
    </row>
    <row r="53" spans="2:6" ht="16.5" thickTop="1" thickBot="1">
      <c r="B53" s="172"/>
      <c r="C53" s="20" t="s">
        <v>77</v>
      </c>
      <c r="D53" s="20">
        <v>404</v>
      </c>
      <c r="E53" s="20">
        <v>415</v>
      </c>
      <c r="F53" s="20">
        <v>819</v>
      </c>
    </row>
    <row r="54" spans="2:6" ht="16.5" thickTop="1" thickBot="1">
      <c r="B54" s="172"/>
      <c r="C54" s="20" t="s">
        <v>78</v>
      </c>
      <c r="D54" s="20">
        <v>193</v>
      </c>
      <c r="E54" s="20">
        <v>346</v>
      </c>
      <c r="F54" s="20">
        <v>539</v>
      </c>
    </row>
    <row r="55" spans="2:6" ht="16.5" thickTop="1" thickBot="1">
      <c r="B55" s="173"/>
      <c r="C55" s="20" t="s">
        <v>79</v>
      </c>
      <c r="D55" s="20">
        <v>28</v>
      </c>
      <c r="E55" s="20">
        <v>75</v>
      </c>
      <c r="F55" s="20">
        <v>103</v>
      </c>
    </row>
    <row r="56" spans="2:6" ht="16.5" thickTop="1" thickBot="1">
      <c r="B56" s="168" t="s">
        <v>49</v>
      </c>
      <c r="C56" s="19" t="s">
        <v>76</v>
      </c>
      <c r="D56" s="22">
        <v>1324</v>
      </c>
      <c r="E56" s="19">
        <v>914</v>
      </c>
      <c r="F56" s="22">
        <v>2238</v>
      </c>
    </row>
    <row r="57" spans="2:6" ht="16.5" thickTop="1" thickBot="1">
      <c r="B57" s="169"/>
      <c r="C57" s="19" t="s">
        <v>77</v>
      </c>
      <c r="D57" s="22">
        <v>8213</v>
      </c>
      <c r="E57" s="22">
        <v>7914</v>
      </c>
      <c r="F57" s="22">
        <v>16127</v>
      </c>
    </row>
    <row r="58" spans="2:6" ht="16.5" thickTop="1" thickBot="1">
      <c r="B58" s="169"/>
      <c r="C58" s="19" t="s">
        <v>78</v>
      </c>
      <c r="D58" s="22">
        <v>3069</v>
      </c>
      <c r="E58" s="22">
        <v>3878</v>
      </c>
      <c r="F58" s="22">
        <v>6947</v>
      </c>
    </row>
    <row r="59" spans="2:6" ht="16.5" thickTop="1" thickBot="1">
      <c r="B59" s="170"/>
      <c r="C59" s="19" t="s">
        <v>79</v>
      </c>
      <c r="D59" s="22">
        <v>1508</v>
      </c>
      <c r="E59" s="22">
        <v>3100</v>
      </c>
      <c r="F59" s="22">
        <v>4608</v>
      </c>
    </row>
    <row r="60" spans="2:6" ht="16.5" thickTop="1" thickBot="1">
      <c r="B60" s="171" t="s">
        <v>50</v>
      </c>
      <c r="C60" s="20" t="s">
        <v>76</v>
      </c>
      <c r="D60" s="20">
        <v>870</v>
      </c>
      <c r="E60" s="20">
        <v>774</v>
      </c>
      <c r="F60" s="21">
        <v>1644</v>
      </c>
    </row>
    <row r="61" spans="2:6" ht="16.5" thickTop="1" thickBot="1">
      <c r="B61" s="172"/>
      <c r="C61" s="20" t="s">
        <v>77</v>
      </c>
      <c r="D61" s="21">
        <v>4421</v>
      </c>
      <c r="E61" s="21">
        <v>4775</v>
      </c>
      <c r="F61" s="21">
        <v>9196</v>
      </c>
    </row>
    <row r="62" spans="2:6" ht="16.5" thickTop="1" thickBot="1">
      <c r="B62" s="172"/>
      <c r="C62" s="20" t="s">
        <v>78</v>
      </c>
      <c r="D62" s="21">
        <v>1742</v>
      </c>
      <c r="E62" s="21">
        <v>2898</v>
      </c>
      <c r="F62" s="21">
        <v>4640</v>
      </c>
    </row>
    <row r="63" spans="2:6" ht="16.5" thickTop="1" thickBot="1">
      <c r="B63" s="173"/>
      <c r="C63" s="20" t="s">
        <v>79</v>
      </c>
      <c r="D63" s="20">
        <v>531</v>
      </c>
      <c r="E63" s="21">
        <v>1639</v>
      </c>
      <c r="F63" s="21">
        <v>2170</v>
      </c>
    </row>
    <row r="64" spans="2:6" ht="16.5" thickTop="1" thickBot="1">
      <c r="B64" s="168" t="s">
        <v>51</v>
      </c>
      <c r="C64" s="19" t="s">
        <v>76</v>
      </c>
      <c r="D64" s="22">
        <v>1117</v>
      </c>
      <c r="E64" s="19">
        <v>707</v>
      </c>
      <c r="F64" s="22">
        <v>1824</v>
      </c>
    </row>
    <row r="65" spans="2:6" ht="16.5" thickTop="1" thickBot="1">
      <c r="B65" s="169"/>
      <c r="C65" s="19" t="s">
        <v>77</v>
      </c>
      <c r="D65" s="22">
        <v>7156</v>
      </c>
      <c r="E65" s="22">
        <v>6027</v>
      </c>
      <c r="F65" s="22">
        <v>13183</v>
      </c>
    </row>
    <row r="66" spans="2:6" ht="16.5" thickTop="1" thickBot="1">
      <c r="B66" s="169"/>
      <c r="C66" s="19" t="s">
        <v>78</v>
      </c>
      <c r="D66" s="22">
        <v>2840</v>
      </c>
      <c r="E66" s="22">
        <v>4170</v>
      </c>
      <c r="F66" s="22">
        <v>7010</v>
      </c>
    </row>
    <row r="67" spans="2:6" ht="16.5" thickTop="1" thickBot="1">
      <c r="B67" s="170"/>
      <c r="C67" s="19" t="s">
        <v>79</v>
      </c>
      <c r="D67" s="22">
        <v>1147</v>
      </c>
      <c r="E67" s="22">
        <v>3071</v>
      </c>
      <c r="F67" s="22">
        <v>4218</v>
      </c>
    </row>
    <row r="68" spans="2:6" ht="16.5" thickTop="1" thickBot="1">
      <c r="B68" s="171" t="s">
        <v>52</v>
      </c>
      <c r="C68" s="20" t="s">
        <v>76</v>
      </c>
      <c r="D68" s="20">
        <v>729</v>
      </c>
      <c r="E68" s="20">
        <v>488</v>
      </c>
      <c r="F68" s="21">
        <v>1217</v>
      </c>
    </row>
    <row r="69" spans="2:6" ht="16.5" thickTop="1" thickBot="1">
      <c r="B69" s="172"/>
      <c r="C69" s="20" t="s">
        <v>77</v>
      </c>
      <c r="D69" s="21">
        <v>3537</v>
      </c>
      <c r="E69" s="21">
        <v>3356</v>
      </c>
      <c r="F69" s="21">
        <v>6893</v>
      </c>
    </row>
    <row r="70" spans="2:6" ht="16.5" thickTop="1" thickBot="1">
      <c r="B70" s="172"/>
      <c r="C70" s="20" t="s">
        <v>78</v>
      </c>
      <c r="D70" s="21">
        <v>1275</v>
      </c>
      <c r="E70" s="21">
        <v>2091</v>
      </c>
      <c r="F70" s="21">
        <v>3366</v>
      </c>
    </row>
    <row r="71" spans="2:6" ht="16.5" thickTop="1" thickBot="1">
      <c r="B71" s="173"/>
      <c r="C71" s="20" t="s">
        <v>79</v>
      </c>
      <c r="D71" s="20">
        <v>421</v>
      </c>
      <c r="E71" s="21">
        <v>1299</v>
      </c>
      <c r="F71" s="21">
        <v>1720</v>
      </c>
    </row>
    <row r="72" spans="2:6" ht="16.5" thickTop="1" thickBot="1">
      <c r="B72" s="168" t="s">
        <v>53</v>
      </c>
      <c r="C72" s="19" t="s">
        <v>76</v>
      </c>
      <c r="D72" s="22">
        <v>1113</v>
      </c>
      <c r="E72" s="19">
        <v>889</v>
      </c>
      <c r="F72" s="22">
        <v>2002</v>
      </c>
    </row>
    <row r="73" spans="2:6" ht="16.5" thickTop="1" thickBot="1">
      <c r="B73" s="169"/>
      <c r="C73" s="19" t="s">
        <v>77</v>
      </c>
      <c r="D73" s="22">
        <v>5058</v>
      </c>
      <c r="E73" s="22">
        <v>5062</v>
      </c>
      <c r="F73" s="22">
        <v>10120</v>
      </c>
    </row>
    <row r="74" spans="2:6" ht="16.5" thickTop="1" thickBot="1">
      <c r="B74" s="169"/>
      <c r="C74" s="19" t="s">
        <v>78</v>
      </c>
      <c r="D74" s="22">
        <v>2772</v>
      </c>
      <c r="E74" s="22">
        <v>4020</v>
      </c>
      <c r="F74" s="22">
        <v>6792</v>
      </c>
    </row>
    <row r="75" spans="2:6" ht="16.5" thickTop="1" thickBot="1">
      <c r="B75" s="170"/>
      <c r="C75" s="19" t="s">
        <v>79</v>
      </c>
      <c r="D75" s="22">
        <v>1032</v>
      </c>
      <c r="E75" s="22">
        <v>3070</v>
      </c>
      <c r="F75" s="22">
        <v>4102</v>
      </c>
    </row>
    <row r="76" spans="2:6" ht="16.5" thickTop="1" thickBot="1">
      <c r="B76" s="171" t="s">
        <v>54</v>
      </c>
      <c r="C76" s="20" t="s">
        <v>76</v>
      </c>
      <c r="D76" s="20">
        <v>341</v>
      </c>
      <c r="E76" s="20">
        <v>364</v>
      </c>
      <c r="F76" s="20">
        <v>705</v>
      </c>
    </row>
    <row r="77" spans="2:6" ht="16.5" thickTop="1" thickBot="1">
      <c r="B77" s="172"/>
      <c r="C77" s="20" t="s">
        <v>77</v>
      </c>
      <c r="D77" s="21">
        <v>2059</v>
      </c>
      <c r="E77" s="21">
        <v>2429</v>
      </c>
      <c r="F77" s="21">
        <v>4488</v>
      </c>
    </row>
    <row r="78" spans="2:6" ht="16.5" thickTop="1" thickBot="1">
      <c r="B78" s="172"/>
      <c r="C78" s="20" t="s">
        <v>78</v>
      </c>
      <c r="D78" s="20">
        <v>702</v>
      </c>
      <c r="E78" s="21">
        <v>1241</v>
      </c>
      <c r="F78" s="21">
        <v>1943</v>
      </c>
    </row>
    <row r="79" spans="2:6" ht="16.5" thickTop="1" thickBot="1">
      <c r="B79" s="173"/>
      <c r="C79" s="20" t="s">
        <v>79</v>
      </c>
      <c r="D79" s="20">
        <v>197</v>
      </c>
      <c r="E79" s="20">
        <v>685</v>
      </c>
      <c r="F79" s="20">
        <v>882</v>
      </c>
    </row>
    <row r="80" spans="2:6" ht="16.5" thickTop="1" thickBot="1">
      <c r="B80" s="168" t="s">
        <v>55</v>
      </c>
      <c r="C80" s="19" t="s">
        <v>76</v>
      </c>
      <c r="D80" s="22">
        <v>3462</v>
      </c>
      <c r="E80" s="22">
        <v>2099</v>
      </c>
      <c r="F80" s="22">
        <v>5561</v>
      </c>
    </row>
    <row r="81" spans="2:6" ht="16.5" thickTop="1" thickBot="1">
      <c r="B81" s="169"/>
      <c r="C81" s="19" t="s">
        <v>77</v>
      </c>
      <c r="D81" s="22">
        <v>21115</v>
      </c>
      <c r="E81" s="22">
        <v>19580</v>
      </c>
      <c r="F81" s="22">
        <v>40695</v>
      </c>
    </row>
    <row r="82" spans="2:6" ht="16.5" thickTop="1" thickBot="1">
      <c r="B82" s="169"/>
      <c r="C82" s="19" t="s">
        <v>78</v>
      </c>
      <c r="D82" s="22">
        <v>8793</v>
      </c>
      <c r="E82" s="22">
        <v>13548</v>
      </c>
      <c r="F82" s="22">
        <v>22341</v>
      </c>
    </row>
    <row r="83" spans="2:6" ht="16.5" thickTop="1" thickBot="1">
      <c r="B83" s="170"/>
      <c r="C83" s="19" t="s">
        <v>79</v>
      </c>
      <c r="D83" s="22">
        <v>3336</v>
      </c>
      <c r="E83" s="22">
        <v>11238</v>
      </c>
      <c r="F83" s="22">
        <v>14574</v>
      </c>
    </row>
    <row r="84" spans="2:6" ht="16.5" thickTop="1" thickBot="1">
      <c r="B84" s="171" t="s">
        <v>56</v>
      </c>
      <c r="C84" s="20" t="s">
        <v>76</v>
      </c>
      <c r="D84" s="20">
        <v>484</v>
      </c>
      <c r="E84" s="20">
        <v>409</v>
      </c>
      <c r="F84" s="20">
        <v>893</v>
      </c>
    </row>
    <row r="85" spans="2:6" ht="16.5" thickTop="1" thickBot="1">
      <c r="B85" s="172"/>
      <c r="C85" s="20" t="s">
        <v>77</v>
      </c>
      <c r="D85" s="21">
        <v>2378</v>
      </c>
      <c r="E85" s="21">
        <v>2457</v>
      </c>
      <c r="F85" s="21">
        <v>4835</v>
      </c>
    </row>
    <row r="86" spans="2:6" ht="16.5" thickTop="1" thickBot="1">
      <c r="B86" s="172"/>
      <c r="C86" s="20" t="s">
        <v>78</v>
      </c>
      <c r="D86" s="21">
        <v>1078</v>
      </c>
      <c r="E86" s="21">
        <v>1671</v>
      </c>
      <c r="F86" s="21">
        <v>2749</v>
      </c>
    </row>
    <row r="87" spans="2:6" ht="16.5" thickTop="1" thickBot="1">
      <c r="B87" s="173"/>
      <c r="C87" s="20" t="s">
        <v>79</v>
      </c>
      <c r="D87" s="20">
        <v>317</v>
      </c>
      <c r="E87" s="21">
        <v>1045</v>
      </c>
      <c r="F87" s="21">
        <v>1362</v>
      </c>
    </row>
    <row r="88" spans="2:6" ht="16.5" thickTop="1" thickBot="1">
      <c r="B88" s="168" t="s">
        <v>57</v>
      </c>
      <c r="C88" s="19" t="s">
        <v>76</v>
      </c>
      <c r="D88" s="19">
        <v>475</v>
      </c>
      <c r="E88" s="19">
        <v>392</v>
      </c>
      <c r="F88" s="19">
        <v>867</v>
      </c>
    </row>
    <row r="89" spans="2:6" ht="16.5" thickTop="1" thickBot="1">
      <c r="B89" s="169"/>
      <c r="C89" s="19" t="s">
        <v>77</v>
      </c>
      <c r="D89" s="22">
        <v>3315</v>
      </c>
      <c r="E89" s="22">
        <v>3076</v>
      </c>
      <c r="F89" s="22">
        <v>6391</v>
      </c>
    </row>
    <row r="90" spans="2:6" ht="16.5" thickTop="1" thickBot="1">
      <c r="B90" s="169"/>
      <c r="C90" s="19" t="s">
        <v>78</v>
      </c>
      <c r="D90" s="22">
        <v>1206</v>
      </c>
      <c r="E90" s="22">
        <v>1936</v>
      </c>
      <c r="F90" s="22">
        <v>3142</v>
      </c>
    </row>
    <row r="91" spans="2:6" ht="16.5" thickTop="1" thickBot="1">
      <c r="B91" s="170"/>
      <c r="C91" s="19" t="s">
        <v>79</v>
      </c>
      <c r="D91" s="19">
        <v>237</v>
      </c>
      <c r="E91" s="19">
        <v>738</v>
      </c>
      <c r="F91" s="19">
        <v>975</v>
      </c>
    </row>
    <row r="92" spans="2:6" ht="16.5" thickTop="1" thickBot="1">
      <c r="B92" s="171" t="s">
        <v>58</v>
      </c>
      <c r="C92" s="20" t="s">
        <v>76</v>
      </c>
      <c r="D92" s="20">
        <v>677</v>
      </c>
      <c r="E92" s="20">
        <v>517</v>
      </c>
      <c r="F92" s="21">
        <v>1194</v>
      </c>
    </row>
    <row r="93" spans="2:6" ht="16.5" thickTop="1" thickBot="1">
      <c r="B93" s="172"/>
      <c r="C93" s="20" t="s">
        <v>77</v>
      </c>
      <c r="D93" s="21">
        <v>3059</v>
      </c>
      <c r="E93" s="21">
        <v>2673</v>
      </c>
      <c r="F93" s="21">
        <v>5732</v>
      </c>
    </row>
    <row r="94" spans="2:6" ht="16.5" thickTop="1" thickBot="1">
      <c r="B94" s="172"/>
      <c r="C94" s="20" t="s">
        <v>78</v>
      </c>
      <c r="D94" s="21">
        <v>1495</v>
      </c>
      <c r="E94" s="21">
        <v>1840</v>
      </c>
      <c r="F94" s="21">
        <v>3335</v>
      </c>
    </row>
    <row r="95" spans="2:6" ht="16.5" thickTop="1" thickBot="1">
      <c r="B95" s="173"/>
      <c r="C95" s="20" t="s">
        <v>79</v>
      </c>
      <c r="D95" s="20">
        <v>648</v>
      </c>
      <c r="E95" s="21">
        <v>1330</v>
      </c>
      <c r="F95" s="21">
        <v>1978</v>
      </c>
    </row>
    <row r="96" spans="2:6" ht="16.5" thickTop="1" thickBot="1">
      <c r="B96" s="168" t="s">
        <v>59</v>
      </c>
      <c r="C96" s="19" t="s">
        <v>76</v>
      </c>
      <c r="D96" s="19">
        <v>573</v>
      </c>
      <c r="E96" s="19">
        <v>479</v>
      </c>
      <c r="F96" s="22">
        <v>1052</v>
      </c>
    </row>
    <row r="97" spans="2:6" ht="16.5" thickTop="1" thickBot="1">
      <c r="B97" s="169"/>
      <c r="C97" s="19" t="s">
        <v>77</v>
      </c>
      <c r="D97" s="22">
        <v>2413</v>
      </c>
      <c r="E97" s="22">
        <v>2610</v>
      </c>
      <c r="F97" s="22">
        <v>5023</v>
      </c>
    </row>
    <row r="98" spans="2:6" ht="16.5" thickTop="1" thickBot="1">
      <c r="B98" s="169"/>
      <c r="C98" s="19" t="s">
        <v>78</v>
      </c>
      <c r="D98" s="19">
        <v>575</v>
      </c>
      <c r="E98" s="22">
        <v>1408</v>
      </c>
      <c r="F98" s="22">
        <v>1983</v>
      </c>
    </row>
    <row r="99" spans="2:6" ht="16.5" thickTop="1" thickBot="1">
      <c r="B99" s="170"/>
      <c r="C99" s="19" t="s">
        <v>79</v>
      </c>
      <c r="D99" s="19">
        <v>242</v>
      </c>
      <c r="E99" s="19">
        <v>954</v>
      </c>
      <c r="F99" s="22">
        <v>1196</v>
      </c>
    </row>
    <row r="100" spans="2:6" ht="16.5" thickTop="1" thickBot="1">
      <c r="B100" s="171" t="s">
        <v>60</v>
      </c>
      <c r="C100" s="20" t="s">
        <v>76</v>
      </c>
      <c r="D100" s="21">
        <v>1057</v>
      </c>
      <c r="E100" s="20">
        <v>684</v>
      </c>
      <c r="F100" s="21">
        <v>1741</v>
      </c>
    </row>
    <row r="101" spans="2:6" ht="16.5" thickTop="1" thickBot="1">
      <c r="B101" s="172"/>
      <c r="C101" s="20" t="s">
        <v>77</v>
      </c>
      <c r="D101" s="21">
        <v>5211</v>
      </c>
      <c r="E101" s="21">
        <v>5001</v>
      </c>
      <c r="F101" s="21">
        <v>10212</v>
      </c>
    </row>
    <row r="102" spans="2:6" ht="16.5" thickTop="1" thickBot="1">
      <c r="B102" s="172"/>
      <c r="C102" s="20" t="s">
        <v>78</v>
      </c>
      <c r="D102" s="21">
        <v>2287</v>
      </c>
      <c r="E102" s="21">
        <v>3253</v>
      </c>
      <c r="F102" s="21">
        <v>5540</v>
      </c>
    </row>
    <row r="103" spans="2:6" ht="16.5" thickTop="1" thickBot="1">
      <c r="B103" s="173"/>
      <c r="C103" s="20" t="s">
        <v>79</v>
      </c>
      <c r="D103" s="21">
        <v>1119</v>
      </c>
      <c r="E103" s="21">
        <v>2645</v>
      </c>
      <c r="F103" s="21">
        <v>3764</v>
      </c>
    </row>
    <row r="104" spans="2:6" ht="16.5" thickTop="1" thickBot="1">
      <c r="B104" s="168" t="s">
        <v>61</v>
      </c>
      <c r="C104" s="19" t="s">
        <v>76</v>
      </c>
      <c r="D104" s="19">
        <v>585</v>
      </c>
      <c r="E104" s="19">
        <v>536</v>
      </c>
      <c r="F104" s="22">
        <v>1121</v>
      </c>
    </row>
    <row r="105" spans="2:6" ht="16.5" thickTop="1" thickBot="1">
      <c r="B105" s="169"/>
      <c r="C105" s="19" t="s">
        <v>77</v>
      </c>
      <c r="D105" s="22">
        <v>1936</v>
      </c>
      <c r="E105" s="22">
        <v>2436</v>
      </c>
      <c r="F105" s="22">
        <v>4372</v>
      </c>
    </row>
    <row r="106" spans="2:6" ht="16.5" thickTop="1" thickBot="1">
      <c r="B106" s="169"/>
      <c r="C106" s="19" t="s">
        <v>78</v>
      </c>
      <c r="D106" s="19">
        <v>455</v>
      </c>
      <c r="E106" s="19">
        <v>964</v>
      </c>
      <c r="F106" s="22">
        <v>1419</v>
      </c>
    </row>
    <row r="107" spans="2:6" ht="16.5" thickTop="1" thickBot="1">
      <c r="B107" s="170"/>
      <c r="C107" s="19" t="s">
        <v>79</v>
      </c>
      <c r="D107" s="19">
        <v>108</v>
      </c>
      <c r="E107" s="19">
        <v>422</v>
      </c>
      <c r="F107" s="19">
        <v>530</v>
      </c>
    </row>
    <row r="108" spans="2:6" ht="16.5" thickTop="1" thickBot="1">
      <c r="B108" s="171" t="s">
        <v>62</v>
      </c>
      <c r="C108" s="20" t="s">
        <v>76</v>
      </c>
      <c r="D108" s="21">
        <v>2018</v>
      </c>
      <c r="E108" s="21">
        <v>1523</v>
      </c>
      <c r="F108" s="21">
        <v>3541</v>
      </c>
    </row>
    <row r="109" spans="2:6" ht="16.5" thickTop="1" thickBot="1">
      <c r="B109" s="172"/>
      <c r="C109" s="20" t="s">
        <v>77</v>
      </c>
      <c r="D109" s="21">
        <v>11777</v>
      </c>
      <c r="E109" s="21">
        <v>11616</v>
      </c>
      <c r="F109" s="21">
        <v>23393</v>
      </c>
    </row>
    <row r="110" spans="2:6" ht="16.5" thickTop="1" thickBot="1">
      <c r="B110" s="172"/>
      <c r="C110" s="20" t="s">
        <v>78</v>
      </c>
      <c r="D110" s="21">
        <v>5375</v>
      </c>
      <c r="E110" s="21">
        <v>8277</v>
      </c>
      <c r="F110" s="21">
        <v>13652</v>
      </c>
    </row>
    <row r="111" spans="2:6" ht="16.5" thickTop="1" thickBot="1">
      <c r="B111" s="173"/>
      <c r="C111" s="20" t="s">
        <v>79</v>
      </c>
      <c r="D111" s="21">
        <v>1099</v>
      </c>
      <c r="E111" s="21">
        <v>4801</v>
      </c>
      <c r="F111" s="21">
        <v>5900</v>
      </c>
    </row>
    <row r="112" spans="2:6" ht="16.5" thickTop="1" thickBot="1">
      <c r="B112" s="168" t="s">
        <v>63</v>
      </c>
      <c r="C112" s="19" t="s">
        <v>76</v>
      </c>
      <c r="D112" s="22">
        <v>2431</v>
      </c>
      <c r="E112" s="22">
        <v>1457</v>
      </c>
      <c r="F112" s="22">
        <v>3888</v>
      </c>
    </row>
    <row r="113" spans="2:6" ht="16.5" thickTop="1" thickBot="1">
      <c r="B113" s="169"/>
      <c r="C113" s="19" t="s">
        <v>77</v>
      </c>
      <c r="D113" s="22">
        <v>26595</v>
      </c>
      <c r="E113" s="22">
        <v>20023</v>
      </c>
      <c r="F113" s="22">
        <v>46618</v>
      </c>
    </row>
    <row r="114" spans="2:6" ht="16.5" thickTop="1" thickBot="1">
      <c r="B114" s="169"/>
      <c r="C114" s="19" t="s">
        <v>78</v>
      </c>
      <c r="D114" s="22">
        <v>20201</v>
      </c>
      <c r="E114" s="22">
        <v>19842</v>
      </c>
      <c r="F114" s="22">
        <v>40043</v>
      </c>
    </row>
    <row r="115" spans="2:6" ht="16.5" thickTop="1" thickBot="1">
      <c r="B115" s="170"/>
      <c r="C115" s="19" t="s">
        <v>79</v>
      </c>
      <c r="D115" s="22">
        <v>11911</v>
      </c>
      <c r="E115" s="22">
        <v>23943</v>
      </c>
      <c r="F115" s="22">
        <v>35854</v>
      </c>
    </row>
    <row r="116" spans="2:6" ht="16.5" thickTop="1" thickBot="1">
      <c r="B116" s="171" t="s">
        <v>64</v>
      </c>
      <c r="C116" s="20" t="s">
        <v>76</v>
      </c>
      <c r="D116" s="20">
        <v>435</v>
      </c>
      <c r="E116" s="20">
        <v>351</v>
      </c>
      <c r="F116" s="20">
        <v>786</v>
      </c>
    </row>
    <row r="117" spans="2:6" ht="16.5" thickTop="1" thickBot="1">
      <c r="B117" s="172"/>
      <c r="C117" s="20" t="s">
        <v>77</v>
      </c>
      <c r="D117" s="21">
        <v>2243</v>
      </c>
      <c r="E117" s="21">
        <v>2395</v>
      </c>
      <c r="F117" s="21">
        <v>4638</v>
      </c>
    </row>
    <row r="118" spans="2:6" ht="16.5" thickTop="1" thickBot="1">
      <c r="B118" s="172"/>
      <c r="C118" s="20" t="s">
        <v>78</v>
      </c>
      <c r="D118" s="20">
        <v>558</v>
      </c>
      <c r="E118" s="21">
        <v>1116</v>
      </c>
      <c r="F118" s="21">
        <v>1674</v>
      </c>
    </row>
    <row r="119" spans="2:6" ht="16.5" thickTop="1" thickBot="1">
      <c r="B119" s="173"/>
      <c r="C119" s="20" t="s">
        <v>79</v>
      </c>
      <c r="D119" s="20">
        <v>155</v>
      </c>
      <c r="E119" s="20">
        <v>540</v>
      </c>
      <c r="F119" s="20">
        <v>695</v>
      </c>
    </row>
    <row r="120" spans="2:6" ht="16.5" thickTop="1" thickBot="1">
      <c r="B120" s="168" t="s">
        <v>65</v>
      </c>
      <c r="C120" s="19" t="s">
        <v>76</v>
      </c>
      <c r="D120" s="19">
        <v>192</v>
      </c>
      <c r="E120" s="19">
        <v>122</v>
      </c>
      <c r="F120" s="19">
        <v>314</v>
      </c>
    </row>
    <row r="121" spans="2:6" ht="16.5" thickTop="1" thickBot="1">
      <c r="B121" s="169"/>
      <c r="C121" s="19" t="s">
        <v>77</v>
      </c>
      <c r="D121" s="22">
        <v>1178</v>
      </c>
      <c r="E121" s="22">
        <v>1053</v>
      </c>
      <c r="F121" s="22">
        <v>2231</v>
      </c>
    </row>
    <row r="122" spans="2:6" ht="16.5" thickTop="1" thickBot="1">
      <c r="B122" s="169"/>
      <c r="C122" s="19" t="s">
        <v>78</v>
      </c>
      <c r="D122" s="19">
        <v>647</v>
      </c>
      <c r="E122" s="19">
        <v>946</v>
      </c>
      <c r="F122" s="22">
        <v>1593</v>
      </c>
    </row>
    <row r="123" spans="2:6" ht="16.5" thickTop="1" thickBot="1">
      <c r="B123" s="170"/>
      <c r="C123" s="19" t="s">
        <v>79</v>
      </c>
      <c r="D123" s="19">
        <v>81</v>
      </c>
      <c r="E123" s="19">
        <v>274</v>
      </c>
      <c r="F123" s="19">
        <v>355</v>
      </c>
    </row>
    <row r="124" spans="2:6" ht="16.5" thickTop="1" thickBot="1">
      <c r="B124" s="171" t="s">
        <v>66</v>
      </c>
      <c r="C124" s="20" t="s">
        <v>76</v>
      </c>
      <c r="D124" s="20">
        <v>54</v>
      </c>
      <c r="E124" s="20">
        <v>30</v>
      </c>
      <c r="F124" s="20">
        <v>84</v>
      </c>
    </row>
    <row r="125" spans="2:6" ht="16.5" thickTop="1" thickBot="1">
      <c r="B125" s="172"/>
      <c r="C125" s="20" t="s">
        <v>77</v>
      </c>
      <c r="D125" s="20">
        <v>250</v>
      </c>
      <c r="E125" s="20">
        <v>247</v>
      </c>
      <c r="F125" s="20">
        <v>497</v>
      </c>
    </row>
    <row r="126" spans="2:6" ht="16.5" thickTop="1" thickBot="1">
      <c r="B126" s="172"/>
      <c r="C126" s="20" t="s">
        <v>78</v>
      </c>
      <c r="D126" s="20">
        <v>121</v>
      </c>
      <c r="E126" s="20">
        <v>211</v>
      </c>
      <c r="F126" s="20">
        <v>332</v>
      </c>
    </row>
    <row r="127" spans="2:6" ht="16.5" thickTop="1" thickBot="1">
      <c r="B127" s="173"/>
      <c r="C127" s="20" t="s">
        <v>79</v>
      </c>
      <c r="D127" s="20">
        <v>29</v>
      </c>
      <c r="E127" s="20">
        <v>81</v>
      </c>
      <c r="F127" s="20">
        <v>110</v>
      </c>
    </row>
    <row r="128" spans="2:6" ht="16.5" thickTop="1" thickBot="1">
      <c r="B128" s="168" t="s">
        <v>67</v>
      </c>
      <c r="C128" s="19" t="s">
        <v>76</v>
      </c>
      <c r="D128" s="22">
        <v>1896</v>
      </c>
      <c r="E128" s="22">
        <v>1213</v>
      </c>
      <c r="F128" s="22">
        <v>3109</v>
      </c>
    </row>
    <row r="129" spans="2:6" ht="16.5" thickTop="1" thickBot="1">
      <c r="B129" s="169"/>
      <c r="C129" s="19" t="s">
        <v>77</v>
      </c>
      <c r="D129" s="22">
        <v>14741</v>
      </c>
      <c r="E129" s="22">
        <v>12558</v>
      </c>
      <c r="F129" s="22">
        <v>27299</v>
      </c>
    </row>
    <row r="130" spans="2:6" ht="16.5" thickTop="1" thickBot="1">
      <c r="B130" s="169"/>
      <c r="C130" s="19" t="s">
        <v>78</v>
      </c>
      <c r="D130" s="22">
        <v>7820</v>
      </c>
      <c r="E130" s="22">
        <v>10727</v>
      </c>
      <c r="F130" s="22">
        <v>18547</v>
      </c>
    </row>
    <row r="131" spans="2:6" ht="16.5" thickTop="1" thickBot="1">
      <c r="B131" s="170"/>
      <c r="C131" s="19" t="s">
        <v>79</v>
      </c>
      <c r="D131" s="22">
        <v>3019</v>
      </c>
      <c r="E131" s="22">
        <v>7568</v>
      </c>
      <c r="F131" s="22">
        <v>10587</v>
      </c>
    </row>
    <row r="132" spans="2:6" ht="16.5" thickTop="1" thickBot="1">
      <c r="B132" s="171" t="s">
        <v>68</v>
      </c>
      <c r="C132" s="20" t="s">
        <v>76</v>
      </c>
      <c r="D132" s="21">
        <v>1153</v>
      </c>
      <c r="E132" s="20">
        <v>850</v>
      </c>
      <c r="F132" s="21">
        <v>2003</v>
      </c>
    </row>
    <row r="133" spans="2:6" ht="16.5" thickTop="1" thickBot="1">
      <c r="B133" s="172"/>
      <c r="C133" s="20" t="s">
        <v>77</v>
      </c>
      <c r="D133" s="21">
        <v>6503</v>
      </c>
      <c r="E133" s="21">
        <v>6726</v>
      </c>
      <c r="F133" s="21">
        <v>13229</v>
      </c>
    </row>
    <row r="134" spans="2:6" ht="16.5" thickTop="1" thickBot="1">
      <c r="B134" s="172"/>
      <c r="C134" s="20" t="s">
        <v>78</v>
      </c>
      <c r="D134" s="21">
        <v>2557</v>
      </c>
      <c r="E134" s="21">
        <v>4803</v>
      </c>
      <c r="F134" s="21">
        <v>7360</v>
      </c>
    </row>
    <row r="135" spans="2:6" ht="16.5" thickTop="1" thickBot="1">
      <c r="B135" s="173"/>
      <c r="C135" s="20" t="s">
        <v>79</v>
      </c>
      <c r="D135" s="20">
        <v>530</v>
      </c>
      <c r="E135" s="21">
        <v>2488</v>
      </c>
      <c r="F135" s="21">
        <v>3018</v>
      </c>
    </row>
    <row r="136" spans="2:6" ht="16.5" thickTop="1" thickBot="1">
      <c r="B136" s="168" t="s">
        <v>69</v>
      </c>
      <c r="C136" s="19" t="s">
        <v>76</v>
      </c>
      <c r="D136" s="19">
        <v>339</v>
      </c>
      <c r="E136" s="19">
        <v>246</v>
      </c>
      <c r="F136" s="19">
        <v>585</v>
      </c>
    </row>
    <row r="137" spans="2:6" ht="16.5" thickTop="1" thickBot="1">
      <c r="B137" s="169"/>
      <c r="C137" s="19" t="s">
        <v>77</v>
      </c>
      <c r="D137" s="22">
        <v>1420</v>
      </c>
      <c r="E137" s="22">
        <v>1493</v>
      </c>
      <c r="F137" s="22">
        <v>2913</v>
      </c>
    </row>
    <row r="138" spans="2:6" ht="16.5" thickTop="1" thickBot="1">
      <c r="B138" s="169"/>
      <c r="C138" s="19" t="s">
        <v>78</v>
      </c>
      <c r="D138" s="19">
        <v>452</v>
      </c>
      <c r="E138" s="19">
        <v>686</v>
      </c>
      <c r="F138" s="22">
        <v>1138</v>
      </c>
    </row>
    <row r="139" spans="2:6" ht="16.5" thickTop="1" thickBot="1">
      <c r="B139" s="170"/>
      <c r="C139" s="19" t="s">
        <v>79</v>
      </c>
      <c r="D139" s="19">
        <v>128</v>
      </c>
      <c r="E139" s="19">
        <v>373</v>
      </c>
      <c r="F139" s="19">
        <v>501</v>
      </c>
    </row>
    <row r="140" spans="2:6" ht="16.5" thickTop="1" thickBot="1">
      <c r="B140" s="171" t="s">
        <v>70</v>
      </c>
      <c r="C140" s="20" t="s">
        <v>76</v>
      </c>
      <c r="D140" s="21">
        <v>6409</v>
      </c>
      <c r="E140" s="21">
        <v>4379</v>
      </c>
      <c r="F140" s="21">
        <v>10788</v>
      </c>
    </row>
    <row r="141" spans="2:6" ht="16.5" thickTop="1" thickBot="1">
      <c r="B141" s="172"/>
      <c r="C141" s="20" t="s">
        <v>77</v>
      </c>
      <c r="D141" s="21">
        <v>61779</v>
      </c>
      <c r="E141" s="21">
        <v>51670</v>
      </c>
      <c r="F141" s="21">
        <v>113449</v>
      </c>
    </row>
    <row r="142" spans="2:6" ht="16.5" thickTop="1" thickBot="1">
      <c r="B142" s="172"/>
      <c r="C142" s="20" t="s">
        <v>78</v>
      </c>
      <c r="D142" s="21">
        <v>37727</v>
      </c>
      <c r="E142" s="21">
        <v>42754</v>
      </c>
      <c r="F142" s="21">
        <v>80481</v>
      </c>
    </row>
    <row r="143" spans="2:6" ht="16.5" thickTop="1" thickBot="1">
      <c r="B143" s="173"/>
      <c r="C143" s="20" t="s">
        <v>79</v>
      </c>
      <c r="D143" s="21">
        <v>12926</v>
      </c>
      <c r="E143" s="21">
        <v>33500</v>
      </c>
      <c r="F143" s="21">
        <v>46426</v>
      </c>
    </row>
    <row r="144" spans="2:6" ht="16.5" thickTop="1" thickBot="1">
      <c r="B144" s="168" t="s">
        <v>71</v>
      </c>
      <c r="C144" s="19" t="s">
        <v>76</v>
      </c>
      <c r="D144" s="19">
        <v>151</v>
      </c>
      <c r="E144" s="19">
        <v>143</v>
      </c>
      <c r="F144" s="19">
        <v>294</v>
      </c>
    </row>
    <row r="145" spans="2:6" ht="16.5" thickTop="1" thickBot="1">
      <c r="B145" s="169"/>
      <c r="C145" s="19" t="s">
        <v>77</v>
      </c>
      <c r="D145" s="19">
        <v>836</v>
      </c>
      <c r="E145" s="19">
        <v>968</v>
      </c>
      <c r="F145" s="22">
        <v>1804</v>
      </c>
    </row>
    <row r="146" spans="2:6" ht="16.5" thickTop="1" thickBot="1">
      <c r="B146" s="169"/>
      <c r="C146" s="19" t="s">
        <v>78</v>
      </c>
      <c r="D146" s="19">
        <v>412</v>
      </c>
      <c r="E146" s="19">
        <v>683</v>
      </c>
      <c r="F146" s="22">
        <v>1095</v>
      </c>
    </row>
    <row r="147" spans="2:6" ht="15.75" thickTop="1">
      <c r="B147" s="169"/>
      <c r="C147" s="19" t="s">
        <v>79</v>
      </c>
      <c r="D147" s="19">
        <v>59</v>
      </c>
      <c r="E147" s="19">
        <v>230</v>
      </c>
      <c r="F147" s="19">
        <v>289</v>
      </c>
    </row>
    <row r="148" spans="2:6">
      <c r="B148" s="1"/>
      <c r="C148" s="1"/>
      <c r="D148" s="1"/>
      <c r="E148" s="1"/>
      <c r="F148" s="1"/>
    </row>
    <row r="149" spans="2:6" ht="42.75">
      <c r="B149" s="23" t="s">
        <v>80</v>
      </c>
      <c r="C149" s="1"/>
      <c r="D149" s="1"/>
      <c r="E149" s="1"/>
      <c r="F149" s="1"/>
    </row>
  </sheetData>
  <mergeCells count="31">
    <mergeCell ref="B68:B71"/>
    <mergeCell ref="B34:B35"/>
    <mergeCell ref="C34:E34"/>
    <mergeCell ref="F34:F35"/>
    <mergeCell ref="B36:B39"/>
    <mergeCell ref="B40:B43"/>
    <mergeCell ref="B44:B47"/>
    <mergeCell ref="B48:B51"/>
    <mergeCell ref="B52:B55"/>
    <mergeCell ref="B56:B59"/>
    <mergeCell ref="B60:B63"/>
    <mergeCell ref="B64:B67"/>
    <mergeCell ref="B116:B119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44:B147"/>
    <mergeCell ref="B120:B123"/>
    <mergeCell ref="B124:B127"/>
    <mergeCell ref="B128:B131"/>
    <mergeCell ref="B132:B135"/>
    <mergeCell ref="B136:B139"/>
    <mergeCell ref="B140:B1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3"/>
  <sheetViews>
    <sheetView workbookViewId="0">
      <selection activeCell="F18" sqref="F18"/>
    </sheetView>
  </sheetViews>
  <sheetFormatPr defaultRowHeight="15"/>
  <cols>
    <col min="2" max="2" width="41" customWidth="1"/>
  </cols>
  <sheetData>
    <row r="2" spans="2:2">
      <c r="B2" t="s">
        <v>176</v>
      </c>
    </row>
    <row r="3" spans="2:2">
      <c r="B3" t="s">
        <v>81</v>
      </c>
    </row>
    <row r="4" spans="2:2">
      <c r="B4" t="s">
        <v>82</v>
      </c>
    </row>
    <row r="5" spans="2:2">
      <c r="B5" t="s">
        <v>83</v>
      </c>
    </row>
    <row r="6" spans="2:2">
      <c r="B6" t="s">
        <v>84</v>
      </c>
    </row>
    <row r="7" spans="2:2">
      <c r="B7" t="s">
        <v>85</v>
      </c>
    </row>
    <row r="8" spans="2:2">
      <c r="B8" t="s">
        <v>86</v>
      </c>
    </row>
    <row r="9" spans="2:2">
      <c r="B9" t="s">
        <v>87</v>
      </c>
    </row>
    <row r="10" spans="2:2">
      <c r="B10" t="s">
        <v>88</v>
      </c>
    </row>
    <row r="11" spans="2:2">
      <c r="B11" t="s">
        <v>89</v>
      </c>
    </row>
    <row r="12" spans="2:2">
      <c r="B12" t="s">
        <v>90</v>
      </c>
    </row>
    <row r="13" spans="2:2">
      <c r="B13" t="s">
        <v>91</v>
      </c>
    </row>
    <row r="14" spans="2:2">
      <c r="B14" t="s">
        <v>92</v>
      </c>
    </row>
    <row r="15" spans="2:2">
      <c r="B15" t="s">
        <v>93</v>
      </c>
    </row>
    <row r="16" spans="2:2">
      <c r="B16" t="s">
        <v>94</v>
      </c>
    </row>
    <row r="17" spans="2:2">
      <c r="B17" t="s">
        <v>95</v>
      </c>
    </row>
    <row r="18" spans="2:2">
      <c r="B18" t="s">
        <v>96</v>
      </c>
    </row>
    <row r="19" spans="2:2">
      <c r="B19" t="s">
        <v>97</v>
      </c>
    </row>
    <row r="20" spans="2:2">
      <c r="B20" t="s">
        <v>98</v>
      </c>
    </row>
    <row r="21" spans="2:2">
      <c r="B21" t="s">
        <v>99</v>
      </c>
    </row>
    <row r="22" spans="2:2">
      <c r="B22" t="s">
        <v>100</v>
      </c>
    </row>
    <row r="23" spans="2:2">
      <c r="B23" t="s">
        <v>101</v>
      </c>
    </row>
    <row r="24" spans="2:2">
      <c r="B24" t="s">
        <v>102</v>
      </c>
    </row>
    <row r="25" spans="2:2">
      <c r="B25" t="s">
        <v>103</v>
      </c>
    </row>
    <row r="26" spans="2:2">
      <c r="B26" t="s">
        <v>104</v>
      </c>
    </row>
    <row r="27" spans="2:2">
      <c r="B27" t="s">
        <v>105</v>
      </c>
    </row>
    <row r="28" spans="2:2">
      <c r="B28" t="s">
        <v>106</v>
      </c>
    </row>
    <row r="29" spans="2:2">
      <c r="B29" t="s">
        <v>107</v>
      </c>
    </row>
    <row r="30" spans="2:2">
      <c r="B30" t="s">
        <v>108</v>
      </c>
    </row>
    <row r="31" spans="2:2">
      <c r="B31" t="s">
        <v>109</v>
      </c>
    </row>
    <row r="32" spans="2:2">
      <c r="B32" t="s">
        <v>110</v>
      </c>
    </row>
    <row r="33" spans="2:2">
      <c r="B33" t="s">
        <v>111</v>
      </c>
    </row>
    <row r="34" spans="2:2">
      <c r="B34" t="s">
        <v>112</v>
      </c>
    </row>
    <row r="35" spans="2:2">
      <c r="B35" t="s">
        <v>113</v>
      </c>
    </row>
    <row r="36" spans="2:2">
      <c r="B36" t="s">
        <v>114</v>
      </c>
    </row>
    <row r="37" spans="2:2">
      <c r="B37" t="s">
        <v>115</v>
      </c>
    </row>
    <row r="38" spans="2:2">
      <c r="B38" t="s">
        <v>116</v>
      </c>
    </row>
    <row r="39" spans="2:2">
      <c r="B39" t="s">
        <v>117</v>
      </c>
    </row>
    <row r="40" spans="2:2">
      <c r="B40" t="s">
        <v>118</v>
      </c>
    </row>
    <row r="41" spans="2:2">
      <c r="B41" t="s">
        <v>119</v>
      </c>
    </row>
    <row r="42" spans="2:2">
      <c r="B42" t="s">
        <v>120</v>
      </c>
    </row>
    <row r="43" spans="2:2">
      <c r="B43" t="s">
        <v>121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opLeftCell="A28" workbookViewId="0">
      <selection activeCell="F18" sqref="F18"/>
    </sheetView>
  </sheetViews>
  <sheetFormatPr defaultRowHeight="15"/>
  <cols>
    <col min="2" max="2" width="27.28515625" customWidth="1"/>
    <col min="3" max="3" width="8" bestFit="1" customWidth="1"/>
    <col min="4" max="9" width="6.85546875" bestFit="1" customWidth="1"/>
  </cols>
  <sheetData>
    <row r="1" spans="2:9">
      <c r="B1" t="s">
        <v>144</v>
      </c>
    </row>
    <row r="2" spans="2:9" ht="16.5" thickBot="1">
      <c r="B2" s="26" t="s">
        <v>124</v>
      </c>
      <c r="C2" s="27">
        <v>0.04</v>
      </c>
      <c r="D2" s="27">
        <v>0</v>
      </c>
      <c r="E2" s="27">
        <v>0</v>
      </c>
      <c r="F2" s="27">
        <v>0</v>
      </c>
      <c r="G2" s="27">
        <v>0</v>
      </c>
      <c r="H2" s="27">
        <v>2.75E-2</v>
      </c>
      <c r="I2" s="27">
        <v>1.2500000000000001E-2</v>
      </c>
    </row>
    <row r="3" spans="2:9" ht="32.25" thickBot="1">
      <c r="B3" s="26" t="s">
        <v>125</v>
      </c>
      <c r="C3" s="27">
        <v>5.4699999999999999E-2</v>
      </c>
      <c r="D3" s="27">
        <v>0</v>
      </c>
      <c r="E3" s="27">
        <v>0</v>
      </c>
      <c r="F3" s="27">
        <v>8.6E-3</v>
      </c>
      <c r="G3" s="27">
        <v>0</v>
      </c>
      <c r="H3" s="27">
        <v>2.75E-2</v>
      </c>
      <c r="I3" s="27">
        <v>1.8599999999999998E-2</v>
      </c>
    </row>
    <row r="4" spans="2:9" ht="32.25" thickBot="1">
      <c r="B4" s="26" t="s">
        <v>126</v>
      </c>
      <c r="C4" s="27">
        <v>6.8400000000000002E-2</v>
      </c>
      <c r="D4" s="27">
        <v>2.7000000000000001E-3</v>
      </c>
      <c r="E4" s="27">
        <v>3.0999999999999999E-3</v>
      </c>
      <c r="F4" s="27">
        <v>9.4999999999999998E-3</v>
      </c>
      <c r="G4" s="27">
        <v>2.3E-3</v>
      </c>
      <c r="H4" s="27">
        <v>2.75E-2</v>
      </c>
      <c r="I4" s="27">
        <v>2.3300000000000001E-2</v>
      </c>
    </row>
    <row r="5" spans="2:9" ht="32.25" thickBot="1">
      <c r="B5" s="26" t="s">
        <v>127</v>
      </c>
      <c r="C5" s="27">
        <v>7.5399999999999995E-2</v>
      </c>
      <c r="D5" s="27">
        <v>3.5000000000000001E-3</v>
      </c>
      <c r="E5" s="27">
        <v>3.5000000000000001E-3</v>
      </c>
      <c r="F5" s="27">
        <v>1.04E-2</v>
      </c>
      <c r="G5" s="27">
        <v>2.5000000000000001E-3</v>
      </c>
      <c r="H5" s="27">
        <v>2.9899999999999999E-2</v>
      </c>
      <c r="I5" s="27">
        <v>2.5600000000000001E-2</v>
      </c>
    </row>
    <row r="6" spans="2:9" ht="32.25" thickBot="1">
      <c r="B6" s="26" t="s">
        <v>128</v>
      </c>
      <c r="C6" s="27">
        <v>7.5999999999999998E-2</v>
      </c>
      <c r="D6" s="27">
        <v>3.5000000000000001E-3</v>
      </c>
      <c r="E6" s="27">
        <v>3.5000000000000001E-3</v>
      </c>
      <c r="F6" s="27">
        <v>1.0500000000000001E-2</v>
      </c>
      <c r="G6" s="27">
        <v>2.5000000000000001E-3</v>
      </c>
      <c r="H6" s="27">
        <v>3.0200000000000001E-2</v>
      </c>
      <c r="I6" s="27">
        <v>2.58E-2</v>
      </c>
    </row>
    <row r="7" spans="2:9" ht="32.25" thickBot="1">
      <c r="B7" s="26" t="s">
        <v>129</v>
      </c>
      <c r="C7" s="27">
        <v>8.2799999999999999E-2</v>
      </c>
      <c r="D7" s="27">
        <v>3.8E-3</v>
      </c>
      <c r="E7" s="27">
        <v>3.8E-3</v>
      </c>
      <c r="F7" s="27">
        <v>1.15E-2</v>
      </c>
      <c r="G7" s="27">
        <v>2.7000000000000001E-3</v>
      </c>
      <c r="H7" s="27">
        <v>3.2800000000000003E-2</v>
      </c>
      <c r="I7" s="27">
        <v>2.8199999999999999E-2</v>
      </c>
    </row>
    <row r="8" spans="2:9" ht="32.25" thickBot="1">
      <c r="B8" s="26" t="s">
        <v>130</v>
      </c>
      <c r="C8" s="27">
        <v>8.3599999999999994E-2</v>
      </c>
      <c r="D8" s="27">
        <v>3.8999999999999998E-3</v>
      </c>
      <c r="E8" s="27">
        <v>3.8999999999999998E-3</v>
      </c>
      <c r="F8" s="27">
        <v>1.1599999999999999E-2</v>
      </c>
      <c r="G8" s="27">
        <v>2.8E-3</v>
      </c>
      <c r="H8" s="27">
        <v>3.3000000000000002E-2</v>
      </c>
      <c r="I8" s="27">
        <v>2.8400000000000002E-2</v>
      </c>
    </row>
    <row r="9" spans="2:9" ht="32.25" thickBot="1">
      <c r="B9" s="26" t="s">
        <v>131</v>
      </c>
      <c r="C9" s="27">
        <v>8.4500000000000006E-2</v>
      </c>
      <c r="D9" s="27">
        <v>3.8999999999999998E-3</v>
      </c>
      <c r="E9" s="27">
        <v>3.8999999999999998E-3</v>
      </c>
      <c r="F9" s="27">
        <v>1.17E-2</v>
      </c>
      <c r="G9" s="27">
        <v>2.8E-3</v>
      </c>
      <c r="H9" s="27">
        <v>3.3500000000000002E-2</v>
      </c>
      <c r="I9" s="27">
        <v>2.87E-2</v>
      </c>
    </row>
    <row r="10" spans="2:9" ht="32.25" thickBot="1">
      <c r="B10" s="26" t="s">
        <v>132</v>
      </c>
      <c r="C10" s="27">
        <v>9.0300000000000005E-2</v>
      </c>
      <c r="D10" s="27">
        <v>4.1999999999999997E-3</v>
      </c>
      <c r="E10" s="27">
        <v>4.1999999999999997E-3</v>
      </c>
      <c r="F10" s="27">
        <v>1.2500000000000001E-2</v>
      </c>
      <c r="G10" s="27">
        <v>3.0000000000000001E-3</v>
      </c>
      <c r="H10" s="27">
        <v>3.5700000000000003E-2</v>
      </c>
      <c r="I10" s="27">
        <v>3.0700000000000002E-2</v>
      </c>
    </row>
    <row r="11" spans="2:9" ht="32.25" thickBot="1">
      <c r="B11" s="26" t="s">
        <v>133</v>
      </c>
      <c r="C11" s="27">
        <v>9.1200000000000003E-2</v>
      </c>
      <c r="D11" s="27">
        <v>4.3E-3</v>
      </c>
      <c r="E11" s="27">
        <v>4.3E-3</v>
      </c>
      <c r="F11" s="27">
        <v>1.26E-2</v>
      </c>
      <c r="G11" s="27">
        <v>3.0000000000000001E-3</v>
      </c>
      <c r="H11" s="27">
        <v>3.5999999999999997E-2</v>
      </c>
      <c r="I11" s="27">
        <v>3.1E-2</v>
      </c>
    </row>
    <row r="12" spans="2:9" ht="32.25" thickBot="1">
      <c r="B12" s="26" t="s">
        <v>134</v>
      </c>
      <c r="C12" s="27">
        <v>9.9500000000000005E-2</v>
      </c>
      <c r="D12" s="27">
        <v>4.5999999999999999E-3</v>
      </c>
      <c r="E12" s="27">
        <v>4.5999999999999999E-3</v>
      </c>
      <c r="F12" s="27">
        <v>1.38E-2</v>
      </c>
      <c r="G12" s="27">
        <v>3.3E-3</v>
      </c>
      <c r="H12" s="27">
        <v>3.9399999999999998E-2</v>
      </c>
      <c r="I12" s="27">
        <v>3.3799999999999997E-2</v>
      </c>
    </row>
    <row r="13" spans="2:9" ht="32.25" thickBot="1">
      <c r="B13" s="26" t="s">
        <v>135</v>
      </c>
      <c r="C13" s="27">
        <v>0.1004</v>
      </c>
      <c r="D13" s="27">
        <v>4.5999999999999999E-3</v>
      </c>
      <c r="E13" s="27">
        <v>4.5999999999999999E-3</v>
      </c>
      <c r="F13" s="27">
        <v>1.3899999999999999E-2</v>
      </c>
      <c r="G13" s="27">
        <v>3.3E-3</v>
      </c>
      <c r="H13" s="27">
        <v>3.9899999999999998E-2</v>
      </c>
      <c r="I13" s="27">
        <v>3.4099999999999998E-2</v>
      </c>
    </row>
    <row r="14" spans="2:9" ht="32.25" thickBot="1">
      <c r="B14" s="26" t="s">
        <v>136</v>
      </c>
      <c r="C14" s="27">
        <v>0.1013</v>
      </c>
      <c r="D14" s="27">
        <v>4.7000000000000002E-3</v>
      </c>
      <c r="E14" s="27">
        <v>4.7000000000000002E-3</v>
      </c>
      <c r="F14" s="27">
        <v>1.4E-2</v>
      </c>
      <c r="G14" s="27">
        <v>3.3E-3</v>
      </c>
      <c r="H14" s="27">
        <v>4.0099999999999997E-2</v>
      </c>
      <c r="I14" s="27">
        <v>3.4500000000000003E-2</v>
      </c>
    </row>
    <row r="15" spans="2:9" ht="32.25" thickBot="1">
      <c r="B15" s="26" t="s">
        <v>137</v>
      </c>
      <c r="C15" s="27">
        <v>0.1023</v>
      </c>
      <c r="D15" s="27">
        <v>4.7000000000000002E-3</v>
      </c>
      <c r="E15" s="27">
        <v>4.7000000000000002E-3</v>
      </c>
      <c r="F15" s="27">
        <v>1.4200000000000001E-2</v>
      </c>
      <c r="G15" s="27">
        <v>3.3999999999999998E-3</v>
      </c>
      <c r="H15" s="27">
        <v>4.0500000000000001E-2</v>
      </c>
      <c r="I15" s="27">
        <v>3.4799999999999998E-2</v>
      </c>
    </row>
    <row r="16" spans="2:9" ht="32.25" thickBot="1">
      <c r="B16" s="26" t="s">
        <v>138</v>
      </c>
      <c r="C16" s="27">
        <v>0.1032</v>
      </c>
      <c r="D16" s="27">
        <v>4.7999999999999996E-3</v>
      </c>
      <c r="E16" s="27">
        <v>4.7999999999999996E-3</v>
      </c>
      <c r="F16" s="27">
        <v>1.43E-2</v>
      </c>
      <c r="G16" s="27">
        <v>3.3999999999999998E-3</v>
      </c>
      <c r="H16" s="27">
        <v>4.0800000000000003E-2</v>
      </c>
      <c r="I16" s="27">
        <v>3.5099999999999999E-2</v>
      </c>
    </row>
    <row r="17" spans="2:9" ht="32.25" thickBot="1">
      <c r="B17" s="26" t="s">
        <v>139</v>
      </c>
      <c r="C17" s="27">
        <v>0.1123</v>
      </c>
      <c r="D17" s="27">
        <v>5.1999999999999998E-3</v>
      </c>
      <c r="E17" s="27">
        <v>5.1999999999999998E-3</v>
      </c>
      <c r="F17" s="27">
        <v>1.5599999999999999E-2</v>
      </c>
      <c r="G17" s="27">
        <v>3.7000000000000002E-3</v>
      </c>
      <c r="H17" s="27">
        <v>4.4400000000000002E-2</v>
      </c>
      <c r="I17" s="27">
        <v>3.8199999999999998E-2</v>
      </c>
    </row>
    <row r="18" spans="2:9" ht="32.25" thickBot="1">
      <c r="B18" s="26" t="s">
        <v>140</v>
      </c>
      <c r="C18" s="27">
        <v>0.1132</v>
      </c>
      <c r="D18" s="27">
        <v>5.1999999999999998E-3</v>
      </c>
      <c r="E18" s="27">
        <v>5.1999999999999998E-3</v>
      </c>
      <c r="F18" s="27">
        <v>1.5699999999999999E-2</v>
      </c>
      <c r="G18" s="27">
        <v>3.7000000000000002E-3</v>
      </c>
      <c r="H18" s="27">
        <v>4.4900000000000002E-2</v>
      </c>
      <c r="I18" s="27">
        <v>3.85E-2</v>
      </c>
    </row>
    <row r="19" spans="2:9" ht="32.25" thickBot="1">
      <c r="B19" s="26" t="s">
        <v>141</v>
      </c>
      <c r="C19" s="27">
        <v>0.1142</v>
      </c>
      <c r="D19" s="27">
        <v>5.3E-3</v>
      </c>
      <c r="E19" s="27">
        <v>5.3E-3</v>
      </c>
      <c r="F19" s="27">
        <v>1.5800000000000002E-2</v>
      </c>
      <c r="G19" s="27">
        <v>3.8E-3</v>
      </c>
      <c r="H19" s="27">
        <v>4.5199999999999997E-2</v>
      </c>
      <c r="I19" s="27">
        <v>3.8800000000000001E-2</v>
      </c>
    </row>
    <row r="20" spans="2:9" ht="32.25" thickBot="1">
      <c r="B20" s="26" t="s">
        <v>142</v>
      </c>
      <c r="C20" s="27">
        <v>0.11509999999999999</v>
      </c>
      <c r="D20" s="27">
        <v>5.3E-3</v>
      </c>
      <c r="E20" s="27">
        <v>5.3E-3</v>
      </c>
      <c r="F20" s="27">
        <v>1.6E-2</v>
      </c>
      <c r="G20" s="27">
        <v>3.8E-3</v>
      </c>
      <c r="H20" s="27">
        <v>4.5600000000000002E-2</v>
      </c>
      <c r="I20" s="27">
        <v>3.9100000000000003E-2</v>
      </c>
    </row>
    <row r="21" spans="2:9" ht="32.25" thickBot="1">
      <c r="B21" s="26" t="s">
        <v>143</v>
      </c>
      <c r="C21" s="27">
        <v>0.11609999999999999</v>
      </c>
      <c r="D21" s="27">
        <v>5.4000000000000003E-3</v>
      </c>
      <c r="E21" s="27">
        <v>5.4000000000000003E-3</v>
      </c>
      <c r="F21" s="27">
        <v>1.6E-2</v>
      </c>
      <c r="G21" s="27">
        <v>3.8E-3</v>
      </c>
      <c r="H21" s="27">
        <v>4.5999999999999999E-2</v>
      </c>
      <c r="I21" s="27">
        <v>3.95E-2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8"/>
  <sheetViews>
    <sheetView workbookViewId="0">
      <selection activeCell="F18" sqref="F18"/>
    </sheetView>
  </sheetViews>
  <sheetFormatPr defaultRowHeight="15"/>
  <cols>
    <col min="2" max="2" width="32.5703125" customWidth="1"/>
  </cols>
  <sheetData>
    <row r="2" spans="2:10" ht="15.75">
      <c r="B2" s="29" t="s">
        <v>145</v>
      </c>
    </row>
    <row r="3" spans="2:10" ht="15.75" thickBot="1"/>
    <row r="4" spans="2:10" ht="24.75" thickBot="1">
      <c r="B4" s="32" t="s">
        <v>34</v>
      </c>
      <c r="C4" s="33" t="s">
        <v>146</v>
      </c>
      <c r="D4" s="33" t="s">
        <v>147</v>
      </c>
      <c r="E4" s="33" t="s">
        <v>148</v>
      </c>
      <c r="F4" s="33" t="s">
        <v>149</v>
      </c>
      <c r="G4" s="33" t="s">
        <v>150</v>
      </c>
      <c r="H4" s="33" t="s">
        <v>151</v>
      </c>
      <c r="I4" s="33" t="s">
        <v>152</v>
      </c>
      <c r="J4" s="33" t="s">
        <v>153</v>
      </c>
    </row>
    <row r="5" spans="2:10" ht="15.75" thickBot="1">
      <c r="B5" s="34" t="s">
        <v>154</v>
      </c>
      <c r="C5" s="35">
        <v>4.4999999999999998E-2</v>
      </c>
      <c r="D5" s="35">
        <v>0</v>
      </c>
      <c r="E5" s="35">
        <v>0</v>
      </c>
      <c r="F5" s="35">
        <v>0</v>
      </c>
      <c r="G5" s="35">
        <v>0</v>
      </c>
      <c r="H5" s="35">
        <v>2.75E-2</v>
      </c>
      <c r="I5" s="35">
        <v>1.2500000000000001E-2</v>
      </c>
      <c r="J5" s="35">
        <v>5.0000000000000001E-3</v>
      </c>
    </row>
    <row r="6" spans="2:10" ht="15.75" thickBot="1">
      <c r="B6" s="34" t="s">
        <v>155</v>
      </c>
      <c r="C6" s="35">
        <v>5.9700000000000003E-2</v>
      </c>
      <c r="D6" s="35">
        <v>0</v>
      </c>
      <c r="E6" s="35">
        <v>0</v>
      </c>
      <c r="F6" s="35">
        <v>8.6E-3</v>
      </c>
      <c r="G6" s="35">
        <v>0</v>
      </c>
      <c r="H6" s="35">
        <v>2.75E-2</v>
      </c>
      <c r="I6" s="35">
        <v>1.8599999999999998E-2</v>
      </c>
      <c r="J6" s="35">
        <v>5.0000000000000001E-3</v>
      </c>
    </row>
    <row r="7" spans="2:10" ht="15.75" thickBot="1">
      <c r="B7" s="34" t="s">
        <v>156</v>
      </c>
      <c r="C7" s="35">
        <v>7.3400000000000007E-2</v>
      </c>
      <c r="D7" s="35">
        <v>2.7000000000000001E-3</v>
      </c>
      <c r="E7" s="35">
        <v>3.0999999999999999E-3</v>
      </c>
      <c r="F7" s="35">
        <v>9.4999999999999998E-3</v>
      </c>
      <c r="G7" s="35">
        <v>2.3E-3</v>
      </c>
      <c r="H7" s="35">
        <v>2.75E-2</v>
      </c>
      <c r="I7" s="35">
        <v>2.3300000000000001E-2</v>
      </c>
      <c r="J7" s="35">
        <v>5.0000000000000001E-3</v>
      </c>
    </row>
    <row r="8" spans="2:10" ht="15.75" thickBot="1">
      <c r="B8" s="34" t="s">
        <v>157</v>
      </c>
      <c r="C8" s="35">
        <v>8.0399999999999999E-2</v>
      </c>
      <c r="D8" s="35">
        <v>3.5000000000000001E-3</v>
      </c>
      <c r="E8" s="35">
        <v>3.5000000000000001E-3</v>
      </c>
      <c r="F8" s="35">
        <v>1.04E-2</v>
      </c>
      <c r="G8" s="35">
        <v>2.5000000000000001E-3</v>
      </c>
      <c r="H8" s="35">
        <v>2.9899999999999999E-2</v>
      </c>
      <c r="I8" s="35">
        <v>2.5600000000000001E-2</v>
      </c>
      <c r="J8" s="35">
        <v>5.0000000000000001E-3</v>
      </c>
    </row>
    <row r="9" spans="2:10" ht="15.75" thickBot="1">
      <c r="B9" s="34" t="s">
        <v>158</v>
      </c>
      <c r="C9" s="35">
        <v>8.1000000000000003E-2</v>
      </c>
      <c r="D9" s="35">
        <v>3.5000000000000001E-3</v>
      </c>
      <c r="E9" s="35">
        <v>3.5000000000000001E-3</v>
      </c>
      <c r="F9" s="35">
        <v>1.0500000000000001E-2</v>
      </c>
      <c r="G9" s="35">
        <v>2.5000000000000001E-3</v>
      </c>
      <c r="H9" s="35">
        <v>3.0200000000000001E-2</v>
      </c>
      <c r="I9" s="35">
        <v>2.58E-2</v>
      </c>
      <c r="J9" s="35">
        <v>5.0000000000000001E-3</v>
      </c>
    </row>
    <row r="10" spans="2:10" ht="15.75" thickBot="1">
      <c r="B10" s="34" t="s">
        <v>159</v>
      </c>
      <c r="C10" s="35">
        <v>8.7800000000000003E-2</v>
      </c>
      <c r="D10" s="35">
        <v>3.8E-3</v>
      </c>
      <c r="E10" s="35">
        <v>3.8E-3</v>
      </c>
      <c r="F10" s="35">
        <v>1.15E-2</v>
      </c>
      <c r="G10" s="35">
        <v>2.7000000000000001E-3</v>
      </c>
      <c r="H10" s="35">
        <v>3.2800000000000003E-2</v>
      </c>
      <c r="I10" s="35">
        <v>2.8199999999999999E-2</v>
      </c>
      <c r="J10" s="35">
        <v>5.0000000000000001E-3</v>
      </c>
    </row>
    <row r="11" spans="2:10" ht="15.75" thickBot="1">
      <c r="B11" s="34" t="s">
        <v>160</v>
      </c>
      <c r="C11" s="35">
        <v>8.8599999999999998E-2</v>
      </c>
      <c r="D11" s="35">
        <v>3.8999999999999998E-3</v>
      </c>
      <c r="E11" s="35">
        <v>3.8999999999999998E-3</v>
      </c>
      <c r="F11" s="35">
        <v>1.1599999999999999E-2</v>
      </c>
      <c r="G11" s="35">
        <v>2.8E-3</v>
      </c>
      <c r="H11" s="35">
        <v>3.3000000000000002E-2</v>
      </c>
      <c r="I11" s="35">
        <v>2.8400000000000002E-2</v>
      </c>
      <c r="J11" s="35">
        <v>5.0000000000000001E-3</v>
      </c>
    </row>
    <row r="12" spans="2:10" ht="15.75" thickBot="1">
      <c r="B12" s="34" t="s">
        <v>161</v>
      </c>
      <c r="C12" s="35">
        <v>8.9499999999999996E-2</v>
      </c>
      <c r="D12" s="35">
        <v>3.8999999999999998E-3</v>
      </c>
      <c r="E12" s="35">
        <v>3.8999999999999998E-3</v>
      </c>
      <c r="F12" s="35">
        <v>1.17E-2</v>
      </c>
      <c r="G12" s="35">
        <v>2.8E-3</v>
      </c>
      <c r="H12" s="35">
        <v>3.3500000000000002E-2</v>
      </c>
      <c r="I12" s="35">
        <v>2.87E-2</v>
      </c>
      <c r="J12" s="35">
        <v>5.0000000000000001E-3</v>
      </c>
    </row>
    <row r="13" spans="2:10" ht="15.75" thickBot="1">
      <c r="B13" s="34" t="s">
        <v>162</v>
      </c>
      <c r="C13" s="35">
        <v>9.5299999999999996E-2</v>
      </c>
      <c r="D13" s="35">
        <v>4.1999999999999997E-3</v>
      </c>
      <c r="E13" s="35">
        <v>4.1999999999999997E-3</v>
      </c>
      <c r="F13" s="35">
        <v>1.2500000000000001E-2</v>
      </c>
      <c r="G13" s="35">
        <v>3.0000000000000001E-3</v>
      </c>
      <c r="H13" s="35">
        <v>3.5700000000000003E-2</v>
      </c>
      <c r="I13" s="35">
        <v>3.0700000000000002E-2</v>
      </c>
      <c r="J13" s="35">
        <v>5.0000000000000001E-3</v>
      </c>
    </row>
    <row r="14" spans="2:10" ht="15.75" thickBot="1">
      <c r="B14" s="34" t="s">
        <v>163</v>
      </c>
      <c r="C14" s="35">
        <v>9.6199999999999994E-2</v>
      </c>
      <c r="D14" s="35">
        <v>4.1999999999999997E-3</v>
      </c>
      <c r="E14" s="35">
        <v>4.1999999999999997E-3</v>
      </c>
      <c r="F14" s="35">
        <v>1.26E-2</v>
      </c>
      <c r="G14" s="35">
        <v>3.0000000000000001E-3</v>
      </c>
      <c r="H14" s="35">
        <v>3.6200000000000003E-2</v>
      </c>
      <c r="I14" s="35">
        <v>3.1E-2</v>
      </c>
      <c r="J14" s="35">
        <v>5.0000000000000001E-3</v>
      </c>
    </row>
    <row r="15" spans="2:10" ht="15.75" thickBot="1">
      <c r="B15" s="34" t="s">
        <v>164</v>
      </c>
      <c r="C15" s="35">
        <v>0.1045</v>
      </c>
      <c r="D15" s="35">
        <v>4.5999999999999999E-3</v>
      </c>
      <c r="E15" s="35">
        <v>4.5999999999999999E-3</v>
      </c>
      <c r="F15" s="35">
        <v>1.38E-2</v>
      </c>
      <c r="G15" s="35">
        <v>3.3E-3</v>
      </c>
      <c r="H15" s="35">
        <v>3.9399999999999998E-2</v>
      </c>
      <c r="I15" s="35">
        <v>3.3799999999999997E-2</v>
      </c>
      <c r="J15" s="35">
        <v>5.0000000000000001E-3</v>
      </c>
    </row>
    <row r="16" spans="2:10" ht="15.75" thickBot="1">
      <c r="B16" s="34" t="s">
        <v>165</v>
      </c>
      <c r="C16" s="35">
        <v>0.10539999999999999</v>
      </c>
      <c r="D16" s="35">
        <v>4.5999999999999999E-3</v>
      </c>
      <c r="E16" s="35">
        <v>4.5999999999999999E-3</v>
      </c>
      <c r="F16" s="35">
        <v>1.3899999999999999E-2</v>
      </c>
      <c r="G16" s="35">
        <v>3.3E-3</v>
      </c>
      <c r="H16" s="35">
        <v>3.9899999999999998E-2</v>
      </c>
      <c r="I16" s="35">
        <v>3.4099999999999998E-2</v>
      </c>
      <c r="J16" s="35">
        <v>5.0000000000000001E-3</v>
      </c>
    </row>
    <row r="17" spans="2:10" ht="15.75" thickBot="1">
      <c r="B17" s="34" t="s">
        <v>166</v>
      </c>
      <c r="C17" s="35">
        <v>0.10630000000000001</v>
      </c>
      <c r="D17" s="35">
        <v>4.7000000000000002E-3</v>
      </c>
      <c r="E17" s="35">
        <v>4.7000000000000002E-3</v>
      </c>
      <c r="F17" s="35">
        <v>1.4E-2</v>
      </c>
      <c r="G17" s="35">
        <v>3.3E-3</v>
      </c>
      <c r="H17" s="35">
        <v>4.0099999999999997E-2</v>
      </c>
      <c r="I17" s="35">
        <v>3.4500000000000003E-2</v>
      </c>
      <c r="J17" s="35">
        <v>5.0000000000000001E-3</v>
      </c>
    </row>
    <row r="18" spans="2:10" ht="15.75" thickBot="1">
      <c r="B18" s="34" t="s">
        <v>167</v>
      </c>
      <c r="C18" s="35">
        <v>0.10730000000000001</v>
      </c>
      <c r="D18" s="35">
        <v>4.7000000000000002E-3</v>
      </c>
      <c r="E18" s="35">
        <v>4.7000000000000002E-3</v>
      </c>
      <c r="F18" s="35">
        <v>1.4200000000000001E-2</v>
      </c>
      <c r="G18" s="35">
        <v>3.3999999999999998E-3</v>
      </c>
      <c r="H18" s="35">
        <v>4.0500000000000001E-2</v>
      </c>
      <c r="I18" s="35">
        <v>3.4799999999999998E-2</v>
      </c>
      <c r="J18" s="35">
        <v>5.0000000000000001E-3</v>
      </c>
    </row>
    <row r="19" spans="2:10" ht="15.75" thickBot="1">
      <c r="B19" s="34" t="s">
        <v>168</v>
      </c>
      <c r="C19" s="35">
        <v>0.1082</v>
      </c>
      <c r="D19" s="35">
        <v>4.7999999999999996E-3</v>
      </c>
      <c r="E19" s="35">
        <v>4.7999999999999996E-3</v>
      </c>
      <c r="F19" s="35">
        <v>1.43E-2</v>
      </c>
      <c r="G19" s="35">
        <v>3.3999999999999998E-3</v>
      </c>
      <c r="H19" s="35">
        <v>4.0800000000000003E-2</v>
      </c>
      <c r="I19" s="35">
        <v>3.5099999999999999E-2</v>
      </c>
      <c r="J19" s="35">
        <v>5.0000000000000001E-3</v>
      </c>
    </row>
    <row r="20" spans="2:10" ht="15.75" thickBot="1">
      <c r="B20" s="34" t="s">
        <v>169</v>
      </c>
      <c r="C20" s="35">
        <v>0.1173</v>
      </c>
      <c r="D20" s="35">
        <v>5.1999999999999998E-3</v>
      </c>
      <c r="E20" s="35">
        <v>5.1999999999999998E-3</v>
      </c>
      <c r="F20" s="35">
        <v>1.5599999999999999E-2</v>
      </c>
      <c r="G20" s="35">
        <v>3.7000000000000002E-3</v>
      </c>
      <c r="H20" s="35">
        <v>4.4400000000000002E-2</v>
      </c>
      <c r="I20" s="35">
        <v>3.8199999999999998E-2</v>
      </c>
      <c r="J20" s="35">
        <v>5.0000000000000001E-3</v>
      </c>
    </row>
    <row r="21" spans="2:10" ht="15.75" thickBot="1">
      <c r="B21" s="34" t="s">
        <v>170</v>
      </c>
      <c r="C21" s="35">
        <v>0.1182</v>
      </c>
      <c r="D21" s="35">
        <v>5.1999999999999998E-3</v>
      </c>
      <c r="E21" s="35">
        <v>5.1999999999999998E-3</v>
      </c>
      <c r="F21" s="35">
        <v>1.5699999999999999E-2</v>
      </c>
      <c r="G21" s="35">
        <v>3.7000000000000002E-3</v>
      </c>
      <c r="H21" s="35">
        <v>4.4900000000000002E-2</v>
      </c>
      <c r="I21" s="35">
        <v>3.85E-2</v>
      </c>
      <c r="J21" s="35">
        <v>5.0000000000000001E-3</v>
      </c>
    </row>
    <row r="22" spans="2:10" ht="15.75" thickBot="1">
      <c r="B22" s="34" t="s">
        <v>171</v>
      </c>
      <c r="C22" s="35">
        <v>0.1192</v>
      </c>
      <c r="D22" s="35">
        <v>5.3E-3</v>
      </c>
      <c r="E22" s="35">
        <v>5.3E-3</v>
      </c>
      <c r="F22" s="35">
        <v>1.5800000000000002E-2</v>
      </c>
      <c r="G22" s="35">
        <v>3.8E-3</v>
      </c>
      <c r="H22" s="35">
        <v>4.5199999999999997E-2</v>
      </c>
      <c r="I22" s="35">
        <v>3.8800000000000001E-2</v>
      </c>
      <c r="J22" s="35">
        <v>5.0000000000000001E-3</v>
      </c>
    </row>
    <row r="23" spans="2:10" ht="15.75" thickBot="1">
      <c r="B23" s="34" t="s">
        <v>172</v>
      </c>
      <c r="C23" s="35">
        <v>0.1201</v>
      </c>
      <c r="D23" s="35">
        <v>5.3E-3</v>
      </c>
      <c r="E23" s="35">
        <v>5.3E-3</v>
      </c>
      <c r="F23" s="35">
        <v>1.6E-2</v>
      </c>
      <c r="G23" s="35">
        <v>3.8E-3</v>
      </c>
      <c r="H23" s="35">
        <v>4.5600000000000002E-2</v>
      </c>
      <c r="I23" s="35">
        <v>3.9100000000000003E-2</v>
      </c>
      <c r="J23" s="35">
        <v>5.0000000000000001E-3</v>
      </c>
    </row>
    <row r="24" spans="2:10" ht="15.75" thickBot="1">
      <c r="B24" s="34" t="s">
        <v>173</v>
      </c>
      <c r="C24" s="35">
        <v>0.1211</v>
      </c>
      <c r="D24" s="35">
        <v>5.4000000000000003E-3</v>
      </c>
      <c r="E24" s="35">
        <v>5.4000000000000003E-3</v>
      </c>
      <c r="F24" s="35">
        <v>1.6E-2</v>
      </c>
      <c r="G24" s="35">
        <v>3.8E-3</v>
      </c>
      <c r="H24" s="35">
        <v>4.5999999999999999E-2</v>
      </c>
      <c r="I24" s="35">
        <v>3.95E-2</v>
      </c>
      <c r="J24" s="35">
        <v>5.0000000000000001E-3</v>
      </c>
    </row>
    <row r="26" spans="2:10" ht="15.75">
      <c r="B26" s="31"/>
    </row>
    <row r="28" spans="2:10" ht="15.75">
      <c r="B28" s="31"/>
    </row>
    <row r="30" spans="2:10" ht="15.75">
      <c r="B30" s="31"/>
    </row>
    <row r="32" spans="2:10" ht="15.75">
      <c r="B32" s="31"/>
    </row>
    <row r="34" spans="2:2" ht="15.75">
      <c r="B34" s="31"/>
    </row>
    <row r="36" spans="2:2" ht="15.75">
      <c r="B36" s="31"/>
    </row>
    <row r="38" spans="2:2" ht="15.75">
      <c r="B38" s="30"/>
    </row>
    <row r="40" spans="2:2" ht="15.75">
      <c r="B40" s="31"/>
    </row>
    <row r="42" spans="2:2" ht="15.75">
      <c r="B42" s="31"/>
    </row>
    <row r="44" spans="2:2" ht="15.75">
      <c r="B44" s="31"/>
    </row>
    <row r="46" spans="2:2" ht="15.75">
      <c r="B46" s="31"/>
    </row>
    <row r="48" spans="2:2" ht="15.75">
      <c r="B48" s="31"/>
    </row>
    <row r="50" spans="2:2" ht="15.75">
      <c r="B50" s="31"/>
    </row>
    <row r="52" spans="2:2" ht="15.75">
      <c r="B52" s="31"/>
    </row>
    <row r="54" spans="2:2" ht="15.75">
      <c r="B54" s="31"/>
    </row>
    <row r="56" spans="2:2" ht="15.75">
      <c r="B56" s="30"/>
    </row>
    <row r="58" spans="2:2" ht="15.75">
      <c r="B58" s="31"/>
    </row>
    <row r="60" spans="2:2" ht="15.75">
      <c r="B60" s="31"/>
    </row>
    <row r="62" spans="2:2" ht="15.75">
      <c r="B62" s="31"/>
    </row>
    <row r="64" spans="2:2" ht="15.75">
      <c r="B64" s="31"/>
    </row>
    <row r="66" spans="2:2" ht="15.75">
      <c r="B66" s="31"/>
    </row>
    <row r="68" spans="2:2" ht="15.75">
      <c r="B68" s="31"/>
    </row>
    <row r="70" spans="2:2" ht="15.75">
      <c r="B70" s="31"/>
    </row>
    <row r="72" spans="2:2" ht="15.75">
      <c r="B72" s="31"/>
    </row>
    <row r="74" spans="2:2" ht="15.75">
      <c r="B74" s="30"/>
    </row>
    <row r="76" spans="2:2" ht="15.75">
      <c r="B76" s="31"/>
    </row>
    <row r="78" spans="2:2" ht="15.75">
      <c r="B78" s="31"/>
    </row>
    <row r="80" spans="2:2" ht="15.75">
      <c r="B80" s="31"/>
    </row>
    <row r="82" spans="2:2" ht="15.75">
      <c r="B82" s="31"/>
    </row>
    <row r="84" spans="2:2" ht="15.75">
      <c r="B84" s="31"/>
    </row>
    <row r="86" spans="2:2" ht="15.75">
      <c r="B86" s="31"/>
    </row>
    <row r="88" spans="2:2" ht="15.75">
      <c r="B88" s="31"/>
    </row>
    <row r="90" spans="2:2" ht="15.75">
      <c r="B90" s="31"/>
    </row>
    <row r="92" spans="2:2" ht="15.75">
      <c r="B92" s="30"/>
    </row>
    <row r="94" spans="2:2" ht="15.75">
      <c r="B94" s="31"/>
    </row>
    <row r="96" spans="2:2" ht="15.75">
      <c r="B96" s="31"/>
    </row>
    <row r="98" spans="2:2" ht="15.75">
      <c r="B98" s="31"/>
    </row>
    <row r="100" spans="2:2" ht="15.75">
      <c r="B100" s="31"/>
    </row>
    <row r="102" spans="2:2" ht="15.75">
      <c r="B102" s="31"/>
    </row>
    <row r="104" spans="2:2" ht="15.75">
      <c r="B104" s="31"/>
    </row>
    <row r="106" spans="2:2" ht="15.75">
      <c r="B106" s="31"/>
    </row>
    <row r="108" spans="2:2" ht="15.75">
      <c r="B108" s="31"/>
    </row>
    <row r="110" spans="2:2" ht="15.75">
      <c r="B110" s="30"/>
    </row>
    <row r="112" spans="2:2" ht="15.75">
      <c r="B112" s="31"/>
    </row>
    <row r="114" spans="2:2" ht="15.75">
      <c r="B114" s="31"/>
    </row>
    <row r="116" spans="2:2" ht="15.75">
      <c r="B116" s="31"/>
    </row>
    <row r="118" spans="2:2" ht="15.75">
      <c r="B118" s="31"/>
    </row>
    <row r="120" spans="2:2" ht="15.75">
      <c r="B120" s="31"/>
    </row>
    <row r="122" spans="2:2" ht="15.75">
      <c r="B122" s="31"/>
    </row>
    <row r="124" spans="2:2" ht="15.75">
      <c r="B124" s="31"/>
    </row>
    <row r="126" spans="2:2" ht="15.75">
      <c r="B126" s="31"/>
    </row>
    <row r="128" spans="2:2" ht="15.75">
      <c r="B128" s="30"/>
    </row>
    <row r="130" spans="2:2" ht="15.75">
      <c r="B130" s="31"/>
    </row>
    <row r="132" spans="2:2" ht="15.75">
      <c r="B132" s="31"/>
    </row>
    <row r="134" spans="2:2" ht="15.75">
      <c r="B134" s="31"/>
    </row>
    <row r="136" spans="2:2" ht="15.75">
      <c r="B136" s="31"/>
    </row>
    <row r="138" spans="2:2" ht="15.75">
      <c r="B138" s="31"/>
    </row>
    <row r="140" spans="2:2" ht="15.75">
      <c r="B140" s="31"/>
    </row>
    <row r="142" spans="2:2" ht="15.75">
      <c r="B142" s="31"/>
    </row>
    <row r="144" spans="2:2" ht="15.75">
      <c r="B144" s="31"/>
    </row>
    <row r="146" spans="2:2" ht="15.75">
      <c r="B146" s="30"/>
    </row>
    <row r="148" spans="2:2" ht="15.75">
      <c r="B148" s="31"/>
    </row>
    <row r="150" spans="2:2" ht="15.75">
      <c r="B150" s="31"/>
    </row>
    <row r="152" spans="2:2" ht="15.75">
      <c r="B152" s="31"/>
    </row>
    <row r="154" spans="2:2" ht="15.75">
      <c r="B154" s="31"/>
    </row>
    <row r="156" spans="2:2" ht="15.75">
      <c r="B156" s="31"/>
    </row>
    <row r="158" spans="2:2" ht="15.75">
      <c r="B158" s="31"/>
    </row>
    <row r="160" spans="2:2" ht="15.75">
      <c r="B160" s="31"/>
    </row>
    <row r="162" spans="2:2" ht="15.75">
      <c r="B162" s="31"/>
    </row>
    <row r="164" spans="2:2" ht="15.75">
      <c r="B164" s="30"/>
    </row>
    <row r="166" spans="2:2" ht="15.75">
      <c r="B166" s="31"/>
    </row>
    <row r="168" spans="2:2" ht="15.75">
      <c r="B168" s="31"/>
    </row>
    <row r="170" spans="2:2" ht="15.75">
      <c r="B170" s="31"/>
    </row>
    <row r="172" spans="2:2" ht="15.75">
      <c r="B172" s="31"/>
    </row>
    <row r="174" spans="2:2" ht="15.75">
      <c r="B174" s="31"/>
    </row>
    <row r="176" spans="2:2" ht="15.75">
      <c r="B176" s="31"/>
    </row>
    <row r="178" spans="2:2" ht="15.75">
      <c r="B178" s="31"/>
    </row>
    <row r="180" spans="2:2" ht="15.75">
      <c r="B180" s="31"/>
    </row>
    <row r="182" spans="2:2" ht="15.75">
      <c r="B182" s="30"/>
    </row>
    <row r="184" spans="2:2" ht="15.75">
      <c r="B184" s="31"/>
    </row>
    <row r="186" spans="2:2" ht="15.75">
      <c r="B186" s="31"/>
    </row>
    <row r="188" spans="2:2" ht="15.75">
      <c r="B188" s="31"/>
    </row>
    <row r="190" spans="2:2" ht="15.75">
      <c r="B190" s="31"/>
    </row>
    <row r="192" spans="2:2" ht="15.75">
      <c r="B192" s="31"/>
    </row>
    <row r="194" spans="2:2" ht="15.75">
      <c r="B194" s="31"/>
    </row>
    <row r="196" spans="2:2" ht="15.75">
      <c r="B196" s="31"/>
    </row>
    <row r="198" spans="2:2" ht="15.75">
      <c r="B198" s="31"/>
    </row>
    <row r="200" spans="2:2" ht="15.75">
      <c r="B200" s="30"/>
    </row>
    <row r="202" spans="2:2" ht="15.75">
      <c r="B202" s="31"/>
    </row>
    <row r="204" spans="2:2" ht="15.75">
      <c r="B204" s="31"/>
    </row>
    <row r="206" spans="2:2" ht="15.75">
      <c r="B206" s="31"/>
    </row>
    <row r="208" spans="2:2" ht="15.75">
      <c r="B208" s="31"/>
    </row>
    <row r="210" spans="2:2" ht="15.75">
      <c r="B210" s="31"/>
    </row>
    <row r="212" spans="2:2" ht="15.75">
      <c r="B212" s="31"/>
    </row>
    <row r="214" spans="2:2" ht="15.75">
      <c r="B214" s="31"/>
    </row>
    <row r="216" spans="2:2" ht="15.75">
      <c r="B216" s="31"/>
    </row>
    <row r="218" spans="2:2" ht="15.75">
      <c r="B218" s="30"/>
    </row>
    <row r="220" spans="2:2" ht="15.75">
      <c r="B220" s="31"/>
    </row>
    <row r="222" spans="2:2" ht="15.75">
      <c r="B222" s="31"/>
    </row>
    <row r="224" spans="2:2" ht="15.75">
      <c r="B224" s="31"/>
    </row>
    <row r="226" spans="2:2" ht="15.75">
      <c r="B226" s="31"/>
    </row>
    <row r="228" spans="2:2" ht="15.75">
      <c r="B228" s="31"/>
    </row>
    <row r="230" spans="2:2" ht="15.75">
      <c r="B230" s="31"/>
    </row>
    <row r="232" spans="2:2" ht="15.75">
      <c r="B232" s="31"/>
    </row>
    <row r="234" spans="2:2" ht="15.75">
      <c r="B234" s="31"/>
    </row>
    <row r="236" spans="2:2" ht="15.75">
      <c r="B236" s="30"/>
    </row>
    <row r="238" spans="2:2" ht="15.75">
      <c r="B238" s="31"/>
    </row>
    <row r="240" spans="2:2" ht="15.75">
      <c r="B240" s="31"/>
    </row>
    <row r="242" spans="2:2" ht="15.75">
      <c r="B242" s="31"/>
    </row>
    <row r="244" spans="2:2" ht="15.75">
      <c r="B244" s="31"/>
    </row>
    <row r="246" spans="2:2" ht="15.75">
      <c r="B246" s="31"/>
    </row>
    <row r="248" spans="2:2" ht="15.75">
      <c r="B248" s="31"/>
    </row>
    <row r="250" spans="2:2" ht="15.75">
      <c r="B250" s="31"/>
    </row>
    <row r="252" spans="2:2" ht="15.75">
      <c r="B252" s="31"/>
    </row>
    <row r="254" spans="2:2" ht="15.75">
      <c r="B254" s="30"/>
    </row>
    <row r="256" spans="2:2" ht="15.75">
      <c r="B256" s="31"/>
    </row>
    <row r="258" spans="2:2" ht="15.75">
      <c r="B258" s="31"/>
    </row>
    <row r="260" spans="2:2" ht="15.75">
      <c r="B260" s="31"/>
    </row>
    <row r="262" spans="2:2" ht="15.75">
      <c r="B262" s="31"/>
    </row>
    <row r="264" spans="2:2" ht="15.75">
      <c r="B264" s="31"/>
    </row>
    <row r="266" spans="2:2" ht="15.75">
      <c r="B266" s="31"/>
    </row>
    <row r="268" spans="2:2" ht="15.75">
      <c r="B268" s="31"/>
    </row>
    <row r="270" spans="2:2" ht="15.75">
      <c r="B270" s="31"/>
    </row>
    <row r="272" spans="2:2" ht="15.75">
      <c r="B272" s="30"/>
    </row>
    <row r="274" spans="2:2" ht="15.75">
      <c r="B274" s="31"/>
    </row>
    <row r="276" spans="2:2" ht="15.75">
      <c r="B276" s="31"/>
    </row>
    <row r="278" spans="2:2" ht="15.75">
      <c r="B278" s="31"/>
    </row>
    <row r="280" spans="2:2" ht="15.75">
      <c r="B280" s="31"/>
    </row>
    <row r="282" spans="2:2" ht="15.75">
      <c r="B282" s="31"/>
    </row>
    <row r="284" spans="2:2" ht="15.75">
      <c r="B284" s="31"/>
    </row>
    <row r="286" spans="2:2" ht="15.75">
      <c r="B286" s="31"/>
    </row>
    <row r="288" spans="2:2" ht="15.75">
      <c r="B288" s="31"/>
    </row>
    <row r="290" spans="2:2" ht="15.75">
      <c r="B290" s="30"/>
    </row>
    <row r="292" spans="2:2" ht="15.75">
      <c r="B292" s="31"/>
    </row>
    <row r="294" spans="2:2" ht="15.75">
      <c r="B294" s="31"/>
    </row>
    <row r="296" spans="2:2" ht="15.75">
      <c r="B296" s="31"/>
    </row>
    <row r="298" spans="2:2" ht="15.75">
      <c r="B298" s="31"/>
    </row>
    <row r="300" spans="2:2" ht="15.75">
      <c r="B300" s="31"/>
    </row>
    <row r="302" spans="2:2" ht="15.75">
      <c r="B302" s="31"/>
    </row>
    <row r="304" spans="2:2" ht="15.75">
      <c r="B304" s="31"/>
    </row>
    <row r="306" spans="2:2" ht="15.75">
      <c r="B306" s="31"/>
    </row>
    <row r="308" spans="2:2" ht="15.75">
      <c r="B308" s="30"/>
    </row>
    <row r="310" spans="2:2" ht="15.75">
      <c r="B310" s="31"/>
    </row>
    <row r="312" spans="2:2" ht="15.75">
      <c r="B312" s="31"/>
    </row>
    <row r="314" spans="2:2" ht="15.75">
      <c r="B314" s="31"/>
    </row>
    <row r="316" spans="2:2" ht="15.75">
      <c r="B316" s="31"/>
    </row>
    <row r="318" spans="2:2" ht="15.75">
      <c r="B318" s="31"/>
    </row>
    <row r="320" spans="2:2" ht="15.75">
      <c r="B320" s="31"/>
    </row>
    <row r="322" spans="2:2" ht="15.75">
      <c r="B322" s="31"/>
    </row>
    <row r="324" spans="2:2" ht="15.75">
      <c r="B324" s="31"/>
    </row>
    <row r="326" spans="2:2" ht="15.75">
      <c r="B326" s="30"/>
    </row>
    <row r="328" spans="2:2" ht="15.75">
      <c r="B328" s="31"/>
    </row>
    <row r="330" spans="2:2" ht="15.75">
      <c r="B330" s="31"/>
    </row>
    <row r="332" spans="2:2" ht="15.75">
      <c r="B332" s="31"/>
    </row>
    <row r="334" spans="2:2" ht="15.75">
      <c r="B334" s="31"/>
    </row>
    <row r="336" spans="2:2" ht="15.75">
      <c r="B336" s="31"/>
    </row>
    <row r="338" spans="2:2" ht="15.75">
      <c r="B338" s="31"/>
    </row>
    <row r="340" spans="2:2" ht="15.75">
      <c r="B340" s="31"/>
    </row>
    <row r="342" spans="2:2" ht="15.75">
      <c r="B342" s="31"/>
    </row>
    <row r="344" spans="2:2" ht="15.75">
      <c r="B344" s="30"/>
    </row>
    <row r="346" spans="2:2" ht="15.75">
      <c r="B346" s="31"/>
    </row>
    <row r="348" spans="2:2" ht="15.75">
      <c r="B348" s="31"/>
    </row>
    <row r="350" spans="2:2" ht="15.75">
      <c r="B350" s="31"/>
    </row>
    <row r="352" spans="2:2" ht="15.75">
      <c r="B352" s="31"/>
    </row>
    <row r="354" spans="2:2" ht="15.75">
      <c r="B354" s="31"/>
    </row>
    <row r="356" spans="2:2" ht="15.75">
      <c r="B356" s="31"/>
    </row>
    <row r="358" spans="2:2" ht="15.75">
      <c r="B358" s="31"/>
    </row>
    <row r="360" spans="2:2" ht="15.75">
      <c r="B360" s="31"/>
    </row>
    <row r="362" spans="2:2" ht="15.75">
      <c r="B362" s="30"/>
    </row>
    <row r="364" spans="2:2" ht="15.75">
      <c r="B364" s="31"/>
    </row>
    <row r="366" spans="2:2" ht="15.75">
      <c r="B366" s="31"/>
    </row>
    <row r="368" spans="2:2" ht="15.75">
      <c r="B368" s="31"/>
    </row>
    <row r="370" spans="2:2" ht="15.75">
      <c r="B370" s="31"/>
    </row>
    <row r="372" spans="2:2" ht="15.75">
      <c r="B372" s="31"/>
    </row>
    <row r="374" spans="2:2" ht="15.75">
      <c r="B374" s="31"/>
    </row>
    <row r="376" spans="2:2" ht="15.75">
      <c r="B376" s="31"/>
    </row>
    <row r="378" spans="2:2" ht="15.75">
      <c r="B378" s="3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Simulação</vt:lpstr>
      <vt:lpstr>Tabelas</vt:lpstr>
      <vt:lpstr>Advogados</vt:lpstr>
      <vt:lpstr>Fisioterapeutas</vt:lpstr>
      <vt:lpstr>Plan1</vt:lpstr>
      <vt:lpstr>Plan2</vt:lpstr>
      <vt:lpstr>Simulação!Area_de_impressao</vt:lpstr>
      <vt:lpstr>DespAdm</vt:lpstr>
      <vt:lpstr>ISS</vt:lpstr>
      <vt:lpstr>MOD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Maria Emilia Silveira de Freitas</cp:lastModifiedBy>
  <cp:lastPrinted>2014-08-07T13:19:49Z</cp:lastPrinted>
  <dcterms:created xsi:type="dcterms:W3CDTF">2014-05-25T23:44:56Z</dcterms:created>
  <dcterms:modified xsi:type="dcterms:W3CDTF">2014-08-07T13:21:24Z</dcterms:modified>
</cp:coreProperties>
</file>